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9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7.xml" ContentType="application/vnd.openxmlformats-officedocument.drawing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SW\"/>
    </mc:Choice>
  </mc:AlternateContent>
  <xr:revisionPtr revIDLastSave="0" documentId="13_ncr:1_{D2A052D5-F62E-4163-8311-8BE793EAFF5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H8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I178" i="71" l="1"/>
  <c r="N9" i="75" s="1"/>
  <c r="T178" i="7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A1" i="108"/>
  <c r="A79" i="108"/>
  <c r="A40" i="108"/>
  <c r="AP33" i="109"/>
  <c r="AP54" i="109"/>
  <c r="AP28" i="109"/>
  <c r="AP31" i="109"/>
  <c r="O34" i="109"/>
  <c r="M79" i="16"/>
  <c r="W3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11" i="105" l="1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L107" i="49" l="1" a="1"/>
  <c r="L113" i="49" s="1"/>
  <c r="BX24" i="78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07" i="49"/>
  <c r="L112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L114" i="49" l="1"/>
  <c r="N63" i="49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11" i="15" l="1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X106" i="78" l="1"/>
  <c r="AW96" i="78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7" i="76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<sst xmlns="http://schemas.openxmlformats.org/spreadsheetml/2006/main" count="3243" uniqueCount="547">
  <si>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</si>
  <si>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</si>
  <si>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</si>
  <si>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</si>
  <si>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</si>
  <si>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</si>
  <si>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</si>
  <si>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</si>
  <si>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</si>
  <si>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</si>
  <si>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</si>
  <si>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</si>
  <si>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</si>
  <si>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</si>
  <si>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</si>
  <si>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</si>
  <si>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</si>
  <si>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</si>
  <si>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</si>
  <si>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</si>
  <si>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</si>
  <si>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</si>
  <si>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</si>
  <si>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</si>
  <si>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</si>
  <si>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</si>
  <si>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</si>
  <si>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</si>
  <si>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</si>
  <si>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</si>
  <si>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</si>
  <si>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</si>
  <si>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</si>
  <si>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</si>
  <si>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</si>
  <si>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</si>
  <si>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</si>
  <si>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</si>
  <si>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</si>
  <si>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</si>
  <si>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</si>
  <si>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</si>
  <si>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</si>
  <si>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</si>
  <si>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</si>
  <si>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</si>
  <si>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</si>
  <si>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</si>
  <si>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</si>
  <si>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</si>
  <si>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</si>
  <si>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</si>
  <si>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</si>
  <si>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</si>
  <si>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</si>
  <si>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</si>
  <si>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</si>
  <si>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</si>
  <si>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</si>
  <si>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</si>
  <si>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</si>
  <si>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</si>
  <si>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</si>
  <si>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</si>
  <si>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</si>
  <si>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</si>
  <si>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</si>
  <si>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</si>
  <si>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</si>
  <si>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</si>
  <si>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</si>
  <si>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</si>
  <si>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</si>
  <si>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</si>
  <si>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</si>
  <si>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</si>
  <si>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</si>
  <si>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</si>
  <si>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</si>
  <si>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</si>
  <si>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</si>
  <si>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</si>
  <si>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</si>
  <si>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</si>
  <si>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</si>
  <si>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</si>
  <si>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</si>
  <si>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</si>
  <si>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</si>
  <si>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</si>
  <si>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</si>
  <si>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</si>
  <si>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</si>
  <si>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</si>
  <si>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</si>
  <si>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</si>
  <si>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</si>
  <si>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</si>
  <si>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</si>
  <si>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</si>
  <si>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</si>
  <si>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</si>
  <si>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</si>
  <si>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</si>
  <si>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</si>
  <si>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</si>
  <si>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</si>
  <si>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</si>
  <si>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</si>
  <si>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</si>
  <si>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</si>
  <si>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</si>
  <si>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</si>
  <si>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</si>
  <si>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</si>
  <si>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</si>
  <si>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</si>
  <si>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</si>
  <si>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</si>
  <si>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</si>
  <si>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</si>
  <si>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</si>
  <si>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</si>
  <si>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</si>
  <si>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</si>
  <si>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</si>
  <si>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</si>
  <si>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</si>
  <si>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</si>
  <si>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</si>
  <si>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</si>
  <si>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</si>
  <si>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</si>
  <si>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</si>
  <si>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</si>
  <si>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</si>
  <si>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</si>
  <si>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</si>
  <si>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</si>
  <si>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</si>
  <si>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</si>
  <si>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</si>
  <si>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</si>
  <si>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</si>
  <si>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</si>
  <si>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</si>
  <si>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</si>
  <si>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</si>
  <si>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</si>
  <si>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</si>
  <si>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</si>
  <si>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</si>
  <si>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</si>
  <si>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</si>
  <si>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</si>
  <si>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</si>
  <si>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</si>
  <si>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</si>
  <si>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</si>
  <si>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</si>
  <si>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</si>
  <si>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</si>
  <si>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</si>
  <si>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</si>
  <si>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</si>
  <si>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</si>
  <si>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</si>
  <si>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</si>
  <si>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</si>
  <si>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</si>
  <si>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</si>
  <si>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</si>
  <si>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</si>
  <si>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</si>
  <si>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</si>
  <si>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</si>
  <si>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</si>
  <si>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</si>
  <si>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</si>
  <si>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</si>
  <si>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</si>
  <si>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</si>
  <si>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</si>
  <si>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</si>
  <si>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</si>
  <si>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</si>
  <si>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</si>
  <si>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</si>
  <si>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</si>
  <si>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</si>
  <si>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</si>
  <si>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</si>
  <si>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</si>
  <si>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</si>
  <si>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</si>
  <si>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</si>
  <si>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</si>
  <si>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</si>
  <si>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</si>
  <si>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</si>
  <si>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</si>
  <si>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</si>
  <si>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</si>
  <si>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</si>
  <si>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</si>
  <si>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</si>
  <si>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</si>
  <si>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</si>
  <si>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</si>
  <si>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</si>
  <si>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</si>
  <si>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</si>
  <si>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</si>
  <si>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</si>
  <si>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</si>
  <si>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</si>
  <si>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</si>
  <si>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</si>
  <si>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</si>
  <si>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</si>
  <si>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</si>
  <si>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</si>
  <si>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</si>
  <si>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</si>
  <si>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</si>
  <si>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</si>
  <si>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</si>
  <si>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</si>
  <si>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</si>
  <si>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</si>
  <si>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</si>
  <si>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</si>
  <si>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</si>
  <si>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</si>
  <si>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</si>
  <si>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</si>
  <si>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</si>
  <si>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</si>
  <si>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</si>
  <si>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</si>
  <si>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</si>
  <si>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</si>
  <si>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</si>
  <si>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</si>
  <si>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</si>
  <si>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</si>
  <si>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</si>
  <si>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</si>
  <si>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</si>
  <si>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</si>
  <si>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</si>
  <si>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</si>
  <si>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</si>
  <si>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</si>
  <si>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</si>
  <si>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</si>
  <si>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</si>
  <si>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</si>
  <si>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</si>
  <si>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</si>
  <si>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</si>
  <si>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</si>
  <si>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</si>
  <si>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</si>
  <si>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</si>
  <si>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</si>
  <si>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</si>
  <si>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</si>
  <si>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</si>
  <si>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</si>
  <si>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</si>
  <si>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</si>
  <si>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</si>
  <si>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</si>
  <si>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</si>
  <si>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</si>
  <si>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</si>
  <si>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</si>
  <si>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</si>
  <si>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</si>
  <si>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</si>
  <si>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</si>
  <si>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</si>
  <si>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</si>
  <si>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</si>
  <si>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</si>
  <si>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</si>
  <si>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</si>
  <si>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</si>
  <si>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</si>
  <si>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</si>
  <si>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</si>
  <si>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</si>
  <si>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</si>
  <si>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</si>
  <si>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</si>
  <si>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</si>
  <si>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</si>
  <si>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</si>
  <si>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</si>
  <si>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</si>
  <si>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</si>
  <si>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</si>
  <si>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</si>
  <si>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</si>
  <si>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</si>
  <si>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</si>
  <si>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</si>
  <si>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</si>
  <si>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</si>
  <si>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</si>
  <si>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</si>
  <si>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</si>
  <si>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</si>
  <si>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</si>
  <si>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</si>
  <si>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</si>
  <si>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</si>
  <si>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</si>
  <si>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</si>
  <si>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</si>
  <si>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</si>
  <si>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</si>
  <si>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</si>
  <si>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</si>
  <si>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</si>
  <si>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</si>
  <si>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</si>
  <si>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</si>
  <si>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</si>
  <si>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</si>
  <si>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</si>
  <si>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</si>
  <si>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</si>
  <si>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</si>
  <si>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</si>
  <si>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</si>
  <si>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</si>
  <si>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</si>
  <si>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</si>
  <si>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</si>
  <si>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</si>
  <si>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</si>
  <si>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</si>
  <si>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</si>
  <si>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</si>
  <si>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</si>
  <si>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</si>
  <si>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</si>
  <si>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</si>
  <si>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</si>
  <si>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</si>
  <si>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</si>
  <si>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</si>
  <si>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</si>
  <si>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</si>
  <si>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</si>
  <si>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</si>
  <si>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</si>
  <si>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</si>
  <si>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</si>
  <si>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</si>
  <si>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</si>
  <si>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</si>
  <si>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</si>
  <si>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</si>
  <si>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</si>
  <si>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</si>
  <si>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</si>
  <si>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</si>
  <si>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</si>
  <si>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</si>
  <si>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</si>
  <si>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</si>
  <si>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</si>
  <si>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</si>
  <si>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</si>
  <si>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</si>
  <si>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</si>
  <si>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</si>
  <si>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</si>
  <si>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</si>
  <si>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</si>
  <si>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</si>
  <si>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</si>
  <si>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</si>
  <si>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</si>
  <si>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</si>
  <si>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</si>
  <si>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</si>
  <si>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</si>
  <si>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</si>
  <si>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</si>
  <si>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</si>
  <si>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</si>
  <si>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</si>
  <si>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</si>
  <si>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</si>
  <si>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</si>
  <si>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</si>
  <si>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</si>
  <si>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</si>
  <si>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</si>
  <si>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</si>
  <si>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</si>
  <si>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</si>
  <si>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</si>
  <si>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</si>
  <si>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</si>
  <si>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</si>
  <si>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</si>
  <si>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</si>
  <si>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</si>
  <si>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</si>
  <si>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</si>
  <si>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</si>
  <si>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</si>
  <si>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</si>
  <si>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</si>
  <si>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</si>
  <si>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</si>
  <si>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</si>
  <si>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</si>
  <si>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</si>
  <si>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</si>
  <si>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</si>
  <si>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</si>
  <si>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</si>
  <si>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</si>
  <si>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</si>
  <si>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</si>
  <si>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</si>
  <si>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</si>
  <si>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</si>
  <si>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</si>
  <si>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</si>
  <si>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</si>
  <si>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</si>
  <si>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</si>
  <si>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</si>
  <si>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</si>
  <si>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</si>
  <si>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</si>
  <si>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</si>
  <si>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</si>
  <si>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</si>
  <si>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</si>
  <si>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</si>
  <si>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</si>
  <si>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</si>
  <si>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</si>
  <si>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</si>
  <si>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</si>
  <si>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</si>
  <si>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</si>
  <si>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</si>
  <si>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</si>
  <si>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</si>
  <si>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</si>
  <si>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</si>
  <si>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</si>
  <si>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</si>
  <si>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</si>
  <si>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</si>
  <si>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</si>
  <si>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</si>
  <si>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</si>
  <si>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</si>
  <si>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</si>
  <si>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</si>
  <si>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</si>
  <si>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</si>
  <si>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</si>
  <si>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</si>
  <si>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</si>
  <si>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</si>
  <si>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</si>
  <si>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</si>
  <si>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</si>
  <si>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</si>
  <si>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</si>
  <si>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</si>
  <si>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</si>
  <si>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</si>
  <si>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</si>
  <si>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</si>
  <si>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</si>
  <si>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</si>
  <si>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</si>
  <si>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</si>
  <si>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</si>
  <si>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</si>
  <si>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</si>
  <si>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</si>
  <si>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</si>
  <si>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</si>
  <si>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</si>
  <si>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</si>
  <si>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</si>
  <si>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</si>
  <si>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</si>
  <si>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</si>
  <si>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</si>
  <si>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</si>
  <si>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</si>
  <si>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</si>
  <si>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</si>
  <si>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</si>
  <si>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</si>
  <si>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</si>
  <si>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</si>
  <si>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</si>
  <si>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</si>
  <si>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</si>
  <si>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</si>
  <si>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</si>
  <si>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</si>
  <si>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</si>
  <si>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</si>
  <si>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</si>
  <si>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</si>
  <si>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</si>
  <si>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Region/Nation</t>
  </si>
  <si>
    <t>Region/Nation name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</si>
  <si>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</si>
  <si>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</si>
  <si>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</si>
  <si>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</si>
  <si>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</si>
  <si>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</si>
  <si>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</si>
  <si>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</si>
  <si>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</si>
  <si>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</si>
  <si>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</si>
  <si>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</si>
  <si>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</si>
  <si>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</si>
  <si>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</si>
  <si>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</si>
  <si>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</si>
  <si>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</si>
  <si>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</si>
  <si>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automation/Data/Results/Workbooks/SW/SW_Database.Main.xlsx</t>
  </si>
  <si>
    <t>4. South West</t>
  </si>
  <si>
    <t>South West</t>
  </si>
  <si>
    <t>02 10 2023 04:58:12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</si>
</sst>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0.78076348315760935</c:v>
                </c:pt>
                <c:pt idx="2">
                  <c:v>-0.92265162078438712</c:v>
                </c:pt>
                <c:pt idx="3">
                  <c:v>9.9683069999922935E-2</c:v>
                </c:pt>
                <c:pt idx="4">
                  <c:v>1.6965044802447427</c:v>
                </c:pt>
                <c:pt idx="5">
                  <c:v>-0.21399877691297142</c:v>
                </c:pt>
                <c:pt idx="7">
                  <c:v>1.1918769742761626</c:v>
                </c:pt>
                <c:pt idx="8">
                  <c:v>-0.49133657470266101</c:v>
                </c:pt>
                <c:pt idx="9">
                  <c:v>-0.30478890194173269</c:v>
                </c:pt>
                <c:pt idx="10">
                  <c:v>1.7575046339342482</c:v>
                </c:pt>
                <c:pt idx="11">
                  <c:v>2.3877570051540786</c:v>
                </c:pt>
                <c:pt idx="12">
                  <c:v>-0.23389753518839873</c:v>
                </c:pt>
                <c:pt idx="13">
                  <c:v>-2.3584875697129082</c:v>
                </c:pt>
                <c:pt idx="14">
                  <c:v>6.0171941329044243</c:v>
                </c:pt>
                <c:pt idx="15">
                  <c:v>0.55570826707398435</c:v>
                </c:pt>
                <c:pt idx="17">
                  <c:v>3.0147227864928627</c:v>
                </c:pt>
                <c:pt idx="18">
                  <c:v>-0.52150582677362722</c:v>
                </c:pt>
                <c:pt idx="19">
                  <c:v>0.37013281794284758</c:v>
                </c:pt>
                <c:pt idx="20">
                  <c:v>1.0290262721062815</c:v>
                </c:pt>
                <c:pt idx="22">
                  <c:v>2.6989650497885709</c:v>
                </c:pt>
                <c:pt idx="24">
                  <c:v>1.4329928749709397</c:v>
                </c:pt>
                <c:pt idx="25">
                  <c:v>-0.74181695550494808</c:v>
                </c:pt>
                <c:pt idx="26">
                  <c:v>0.14742218101988502</c:v>
                </c:pt>
                <c:pt idx="27">
                  <c:v>0.83287223850518899</c:v>
                </c:pt>
                <c:pt idx="29">
                  <c:v>1.270525728760652</c:v>
                </c:pt>
                <c:pt idx="30">
                  <c:v>16.894080619267204</c:v>
                </c:pt>
                <c:pt idx="31">
                  <c:v>-5.5308207745223044</c:v>
                </c:pt>
                <c:pt idx="32">
                  <c:v>4.0843325336207936</c:v>
                </c:pt>
                <c:pt idx="33">
                  <c:v>4.3863347615075154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0.6738641534223655</c:v>
                </c:pt>
                <c:pt idx="2">
                  <c:v>1.4341034947878528</c:v>
                </c:pt>
                <c:pt idx="3">
                  <c:v>0.51039250914470813</c:v>
                </c:pt>
                <c:pt idx="4">
                  <c:v>0.48420598878411436</c:v>
                </c:pt>
                <c:pt idx="5">
                  <c:v>0.99896788844899831</c:v>
                </c:pt>
                <c:pt idx="7">
                  <c:v>0.40980935194725454</c:v>
                </c:pt>
                <c:pt idx="8">
                  <c:v>2.0114074363058787</c:v>
                </c:pt>
                <c:pt idx="9">
                  <c:v>1.2843693351431096</c:v>
                </c:pt>
                <c:pt idx="10">
                  <c:v>0.87148293023020518</c:v>
                </c:pt>
                <c:pt idx="11">
                  <c:v>-0.66665352317948345</c:v>
                </c:pt>
                <c:pt idx="12">
                  <c:v>-0.26907330748785485</c:v>
                </c:pt>
                <c:pt idx="13">
                  <c:v>0.7415351336218734</c:v>
                </c:pt>
                <c:pt idx="14">
                  <c:v>-0.38004038111678629</c:v>
                </c:pt>
                <c:pt idx="15">
                  <c:v>0.8082558215800173</c:v>
                </c:pt>
                <c:pt idx="17">
                  <c:v>1.3296949929990864</c:v>
                </c:pt>
                <c:pt idx="18">
                  <c:v>0.21119132350693182</c:v>
                </c:pt>
                <c:pt idx="19">
                  <c:v>7.0996514844745562E-2</c:v>
                </c:pt>
                <c:pt idx="20">
                  <c:v>0.51104067400875586</c:v>
                </c:pt>
                <c:pt idx="22">
                  <c:v>1.2294677741013338</c:v>
                </c:pt>
                <c:pt idx="24">
                  <c:v>-0.48184108017523819</c:v>
                </c:pt>
                <c:pt idx="25">
                  <c:v>-1.4636378766887503</c:v>
                </c:pt>
                <c:pt idx="26">
                  <c:v>-1.6750199165972868</c:v>
                </c:pt>
                <c:pt idx="27">
                  <c:v>-0.81590744730979381</c:v>
                </c:pt>
                <c:pt idx="29">
                  <c:v>0.9611685673671877</c:v>
                </c:pt>
                <c:pt idx="30">
                  <c:v>-0.58059495583130394</c:v>
                </c:pt>
                <c:pt idx="31">
                  <c:v>-4.047861688957477</c:v>
                </c:pt>
                <c:pt idx="32">
                  <c:v>0.413767909070617</c:v>
                </c:pt>
                <c:pt idx="33">
                  <c:v>0.27320606080696308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64.20499999946496</c:v>
                </c:pt>
                <c:pt idx="1">
                  <c:v>55.311000000479432</c:v>
                </c:pt>
                <c:pt idx="2">
                  <c:v>58.561999999561998</c:v>
                </c:pt>
                <c:pt idx="3">
                  <c:v>49.719000000134216</c:v>
                </c:pt>
                <c:pt idx="4">
                  <c:v>55.708000000371591</c:v>
                </c:pt>
                <c:pt idx="5">
                  <c:v>47.735999999941654</c:v>
                </c:pt>
                <c:pt idx="6">
                  <c:v>54.765000000158189</c:v>
                </c:pt>
                <c:pt idx="7">
                  <c:v>64.161000000391567</c:v>
                </c:pt>
                <c:pt idx="8">
                  <c:v>58.655000000492016</c:v>
                </c:pt>
                <c:pt idx="9">
                  <c:v>47.696000000365181</c:v>
                </c:pt>
                <c:pt idx="10">
                  <c:v>58.314000000000618</c:v>
                </c:pt>
                <c:pt idx="11">
                  <c:v>58.770999999769337</c:v>
                </c:pt>
                <c:pt idx="12">
                  <c:v>59.176999999607517</c:v>
                </c:pt>
                <c:pt idx="13">
                  <c:v>59.827999999501017</c:v>
                </c:pt>
                <c:pt idx="14">
                  <c:v>60.244999999376979</c:v>
                </c:pt>
                <c:pt idx="15">
                  <c:v>60.366999999567113</c:v>
                </c:pt>
                <c:pt idx="16">
                  <c:v>60.533999999590478</c:v>
                </c:pt>
                <c:pt idx="17">
                  <c:v>60.686999999177239</c:v>
                </c:pt>
                <c:pt idx="18">
                  <c:v>60.819999998905473</c:v>
                </c:pt>
                <c:pt idx="19">
                  <c:v>60.945999999055822</c:v>
                </c:pt>
                <c:pt idx="20">
                  <c:v>61.148999998861157</c:v>
                </c:pt>
                <c:pt idx="21">
                  <c:v>61.341999999242006</c:v>
                </c:pt>
                <c:pt idx="22">
                  <c:v>61.529999999123312</c:v>
                </c:pt>
                <c:pt idx="23">
                  <c:v>61.707999999209669</c:v>
                </c:pt>
                <c:pt idx="24" formatCode="#,##0.00">
                  <c:v>61.874999998885777</c:v>
                </c:pt>
                <c:pt idx="25">
                  <c:v>62.039999999227852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3.8510000000110787</c:v>
                </c:pt>
                <c:pt idx="1">
                  <c:v>3.5840000000049113</c:v>
                </c:pt>
                <c:pt idx="2">
                  <c:v>5.3729999999472051</c:v>
                </c:pt>
                <c:pt idx="3">
                  <c:v>4.1949999999976848</c:v>
                </c:pt>
                <c:pt idx="4">
                  <c:v>2.4920000000039533</c:v>
                </c:pt>
                <c:pt idx="5">
                  <c:v>4.6809999999860983</c:v>
                </c:pt>
                <c:pt idx="6">
                  <c:v>2.8780000000033414</c:v>
                </c:pt>
                <c:pt idx="7">
                  <c:v>2.979000000011002</c:v>
                </c:pt>
                <c:pt idx="8">
                  <c:v>4.3260000000259362</c:v>
                </c:pt>
                <c:pt idx="9">
                  <c:v>3.4759999999958771</c:v>
                </c:pt>
                <c:pt idx="10">
                  <c:v>3.522000000009839</c:v>
                </c:pt>
                <c:pt idx="11">
                  <c:v>3.3120000000025738</c:v>
                </c:pt>
                <c:pt idx="12">
                  <c:v>3.2280000000104652</c:v>
                </c:pt>
                <c:pt idx="13">
                  <c:v>3.0540000000095486</c:v>
                </c:pt>
                <c:pt idx="14">
                  <c:v>2.881000000011495</c:v>
                </c:pt>
                <c:pt idx="15">
                  <c:v>2.7410000000203789</c:v>
                </c:pt>
                <c:pt idx="16">
                  <c:v>2.6280000000215997</c:v>
                </c:pt>
                <c:pt idx="17">
                  <c:v>2.5170000000248591</c:v>
                </c:pt>
                <c:pt idx="18">
                  <c:v>2.4190000000257856</c:v>
                </c:pt>
                <c:pt idx="19">
                  <c:v>2.3300000000099987</c:v>
                </c:pt>
                <c:pt idx="20">
                  <c:v>2.2490000000175594</c:v>
                </c:pt>
                <c:pt idx="21">
                  <c:v>2.1650000000180283</c:v>
                </c:pt>
                <c:pt idx="22">
                  <c:v>2.0900000000239656</c:v>
                </c:pt>
                <c:pt idx="23">
                  <c:v>2.0190000000309407</c:v>
                </c:pt>
                <c:pt idx="24" formatCode="#,##0.00">
                  <c:v>1.9540000000131044</c:v>
                </c:pt>
                <c:pt idx="25">
                  <c:v>1.8950000000172895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12.936000000040899</c:v>
                </c:pt>
                <c:pt idx="1">
                  <c:v>9.976999999943736</c:v>
                </c:pt>
                <c:pt idx="2">
                  <c:v>8.9319999999949307</c:v>
                </c:pt>
                <c:pt idx="3">
                  <c:v>10.784999999962409</c:v>
                </c:pt>
                <c:pt idx="4">
                  <c:v>7.99199999996718</c:v>
                </c:pt>
                <c:pt idx="5">
                  <c:v>7.0339999999593914</c:v>
                </c:pt>
                <c:pt idx="6">
                  <c:v>10.783999999953293</c:v>
                </c:pt>
                <c:pt idx="7">
                  <c:v>10.820000000008267</c:v>
                </c:pt>
                <c:pt idx="8">
                  <c:v>14.974999999999371</c:v>
                </c:pt>
                <c:pt idx="9">
                  <c:v>11.115999999992283</c:v>
                </c:pt>
                <c:pt idx="10">
                  <c:v>15.351999999954746</c:v>
                </c:pt>
                <c:pt idx="11">
                  <c:v>15.027999999937625</c:v>
                </c:pt>
                <c:pt idx="12">
                  <c:v>14.691000000069847</c:v>
                </c:pt>
                <c:pt idx="13">
                  <c:v>14.594000000060269</c:v>
                </c:pt>
                <c:pt idx="14">
                  <c:v>14.538000000042889</c:v>
                </c:pt>
                <c:pt idx="15">
                  <c:v>14.492000000170153</c:v>
                </c:pt>
                <c:pt idx="16">
                  <c:v>14.441000000164884</c:v>
                </c:pt>
                <c:pt idx="17">
                  <c:v>14.394000000019918</c:v>
                </c:pt>
                <c:pt idx="18">
                  <c:v>14.343999999983165</c:v>
                </c:pt>
                <c:pt idx="19">
                  <c:v>14.29800000003719</c:v>
                </c:pt>
                <c:pt idx="20">
                  <c:v>14.259000000010712</c:v>
                </c:pt>
                <c:pt idx="21">
                  <c:v>14.219000000015315</c:v>
                </c:pt>
                <c:pt idx="22">
                  <c:v>14.180000000002234</c:v>
                </c:pt>
                <c:pt idx="23">
                  <c:v>14.143999999981546</c:v>
                </c:pt>
                <c:pt idx="24" formatCode="#,##0.00">
                  <c:v>14.105999999977415</c:v>
                </c:pt>
                <c:pt idx="25">
                  <c:v>14.067999999897655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14.033999999950812</c:v>
                </c:pt>
                <c:pt idx="1">
                  <c:v>18.535000000071399</c:v>
                </c:pt>
                <c:pt idx="2">
                  <c:v>17.562999999788246</c:v>
                </c:pt>
                <c:pt idx="3">
                  <c:v>16.731999999989508</c:v>
                </c:pt>
                <c:pt idx="4">
                  <c:v>18.956000000072425</c:v>
                </c:pt>
                <c:pt idx="5">
                  <c:v>20.103999999973173</c:v>
                </c:pt>
                <c:pt idx="6">
                  <c:v>20.967000000060541</c:v>
                </c:pt>
                <c:pt idx="7">
                  <c:v>19.826000000094016</c:v>
                </c:pt>
                <c:pt idx="8">
                  <c:v>21.304000000119906</c:v>
                </c:pt>
                <c:pt idx="9">
                  <c:v>23.151000000001172</c:v>
                </c:pt>
                <c:pt idx="10">
                  <c:v>21.414000000082535</c:v>
                </c:pt>
                <c:pt idx="11">
                  <c:v>21.005999999997854</c:v>
                </c:pt>
                <c:pt idx="12">
                  <c:v>20.884000000100542</c:v>
                </c:pt>
                <c:pt idx="13">
                  <c:v>21.223000000102452</c:v>
                </c:pt>
                <c:pt idx="14">
                  <c:v>22.154000000116511</c:v>
                </c:pt>
                <c:pt idx="15">
                  <c:v>22.676000000230591</c:v>
                </c:pt>
                <c:pt idx="16">
                  <c:v>23.061000000240192</c:v>
                </c:pt>
                <c:pt idx="17">
                  <c:v>23.355000000279027</c:v>
                </c:pt>
                <c:pt idx="18">
                  <c:v>23.589000000293652</c:v>
                </c:pt>
                <c:pt idx="19">
                  <c:v>23.783000000179484</c:v>
                </c:pt>
                <c:pt idx="20">
                  <c:v>23.963000000254375</c:v>
                </c:pt>
                <c:pt idx="21">
                  <c:v>24.125000000262474</c:v>
                </c:pt>
                <c:pt idx="22">
                  <c:v>24.282000000343519</c:v>
                </c:pt>
                <c:pt idx="23">
                  <c:v>24.429000000441992</c:v>
                </c:pt>
                <c:pt idx="24" formatCode="#,##0.00">
                  <c:v>24.579000000283251</c:v>
                </c:pt>
                <c:pt idx="25">
                  <c:v>24.718000000210878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35.121999999572978</c:v>
                </c:pt>
                <c:pt idx="1">
                  <c:v>31.075000000235136</c:v>
                </c:pt>
                <c:pt idx="2">
                  <c:v>35.084999999488154</c:v>
                </c:pt>
                <c:pt idx="3">
                  <c:v>34.487000000021681</c:v>
                </c:pt>
                <c:pt idx="4">
                  <c:v>30.584000000259788</c:v>
                </c:pt>
                <c:pt idx="5">
                  <c:v>35.168999999962196</c:v>
                </c:pt>
                <c:pt idx="6">
                  <c:v>40.237000000220561</c:v>
                </c:pt>
                <c:pt idx="7">
                  <c:v>36.35800000024274</c:v>
                </c:pt>
                <c:pt idx="8">
                  <c:v>34.22700000038629</c:v>
                </c:pt>
                <c:pt idx="9">
                  <c:v>34.708000000168767</c:v>
                </c:pt>
                <c:pt idx="10">
                  <c:v>35.4290000002201</c:v>
                </c:pt>
                <c:pt idx="11">
                  <c:v>34.945999999983606</c:v>
                </c:pt>
                <c:pt idx="12">
                  <c:v>34.499000000352488</c:v>
                </c:pt>
                <c:pt idx="13">
                  <c:v>34.240000000348495</c:v>
                </c:pt>
                <c:pt idx="14">
                  <c:v>33.73000000032421</c:v>
                </c:pt>
                <c:pt idx="15">
                  <c:v>33.077000000638492</c:v>
                </c:pt>
                <c:pt idx="16">
                  <c:v>32.513000000624267</c:v>
                </c:pt>
                <c:pt idx="17">
                  <c:v>31.93700000049752</c:v>
                </c:pt>
                <c:pt idx="18">
                  <c:v>31.350000000493107</c:v>
                </c:pt>
                <c:pt idx="19">
                  <c:v>30.77100000038828</c:v>
                </c:pt>
                <c:pt idx="20">
                  <c:v>30.211000000417084</c:v>
                </c:pt>
                <c:pt idx="21">
                  <c:v>29.654000000458158</c:v>
                </c:pt>
                <c:pt idx="22">
                  <c:v>29.108000000535714</c:v>
                </c:pt>
                <c:pt idx="23">
                  <c:v>28.56600000062334</c:v>
                </c:pt>
                <c:pt idx="24" formatCode="#,##0.00">
                  <c:v>28.030000000327931</c:v>
                </c:pt>
                <c:pt idx="25">
                  <c:v>27.499000000160603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37.291999999993592</c:v>
                </c:pt>
                <c:pt idx="1">
                  <c:v>46.66599999988042</c:v>
                </c:pt>
                <c:pt idx="2">
                  <c:v>47.419999999858348</c:v>
                </c:pt>
                <c:pt idx="3">
                  <c:v>52.597999999876137</c:v>
                </c:pt>
                <c:pt idx="4">
                  <c:v>40.768999999930514</c:v>
                </c:pt>
                <c:pt idx="5">
                  <c:v>43.699999999860836</c:v>
                </c:pt>
                <c:pt idx="6">
                  <c:v>40.809999999907646</c:v>
                </c:pt>
                <c:pt idx="7">
                  <c:v>49.246000000100771</c:v>
                </c:pt>
                <c:pt idx="8">
                  <c:v>41.70600000015169</c:v>
                </c:pt>
                <c:pt idx="9">
                  <c:v>43.207999999971001</c:v>
                </c:pt>
                <c:pt idx="10">
                  <c:v>42.102999999961348</c:v>
                </c:pt>
                <c:pt idx="11">
                  <c:v>42.540999999881585</c:v>
                </c:pt>
                <c:pt idx="12">
                  <c:v>41.955000000149873</c:v>
                </c:pt>
                <c:pt idx="13">
                  <c:v>41.493000000139148</c:v>
                </c:pt>
                <c:pt idx="14">
                  <c:v>41.002000000144761</c:v>
                </c:pt>
                <c:pt idx="15">
                  <c:v>40.544000000358835</c:v>
                </c:pt>
                <c:pt idx="16">
                  <c:v>39.81200000033666</c:v>
                </c:pt>
                <c:pt idx="17">
                  <c:v>39.08500000042941</c:v>
                </c:pt>
                <c:pt idx="18">
                  <c:v>38.369000000437936</c:v>
                </c:pt>
                <c:pt idx="19">
                  <c:v>37.669000000346259</c:v>
                </c:pt>
                <c:pt idx="20">
                  <c:v>37.009000000429502</c:v>
                </c:pt>
                <c:pt idx="21">
                  <c:v>36.343000000398305</c:v>
                </c:pt>
                <c:pt idx="22">
                  <c:v>35.682000000485218</c:v>
                </c:pt>
                <c:pt idx="23">
                  <c:v>35.031000000568575</c:v>
                </c:pt>
                <c:pt idx="24" formatCode="#,##0.00">
                  <c:v>34.386000000342825</c:v>
                </c:pt>
                <c:pt idx="25">
                  <c:v>33.749000000190293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167.33099999951011</c:v>
                </c:pt>
                <c:pt idx="1">
                  <c:v>152.81600000030525</c:v>
                </c:pt>
                <c:pt idx="2">
                  <c:v>164.58899999859</c:v>
                </c:pt>
                <c:pt idx="3">
                  <c:v>155.27199999980039</c:v>
                </c:pt>
                <c:pt idx="4">
                  <c:v>160.77300000044735</c:v>
                </c:pt>
                <c:pt idx="5">
                  <c:v>148.98399999982718</c:v>
                </c:pt>
                <c:pt idx="6">
                  <c:v>156.98500000006948</c:v>
                </c:pt>
                <c:pt idx="7">
                  <c:v>148.40300000061578</c:v>
                </c:pt>
                <c:pt idx="8">
                  <c:v>156.83600000107131</c:v>
                </c:pt>
                <c:pt idx="9">
                  <c:v>159.55600000009392</c:v>
                </c:pt>
                <c:pt idx="10">
                  <c:v>159.96900000013204</c:v>
                </c:pt>
                <c:pt idx="11">
                  <c:v>157.01199999967304</c:v>
                </c:pt>
                <c:pt idx="12">
                  <c:v>155.49100000044587</c:v>
                </c:pt>
                <c:pt idx="13">
                  <c:v>154.11100000039855</c:v>
                </c:pt>
                <c:pt idx="14">
                  <c:v>153.25500000042288</c:v>
                </c:pt>
                <c:pt idx="15">
                  <c:v>152.16600000108221</c:v>
                </c:pt>
                <c:pt idx="16">
                  <c:v>151.7120000010388</c:v>
                </c:pt>
                <c:pt idx="17">
                  <c:v>151.23400000153595</c:v>
                </c:pt>
                <c:pt idx="18">
                  <c:v>150.78300000155002</c:v>
                </c:pt>
                <c:pt idx="19">
                  <c:v>150.371000001087</c:v>
                </c:pt>
                <c:pt idx="20">
                  <c:v>150.13700000146494</c:v>
                </c:pt>
                <c:pt idx="21">
                  <c:v>149.79800000142674</c:v>
                </c:pt>
                <c:pt idx="22">
                  <c:v>149.47300000180002</c:v>
                </c:pt>
                <c:pt idx="23">
                  <c:v>149.18700000223151</c:v>
                </c:pt>
                <c:pt idx="24" formatCode="#,##0.00">
                  <c:v>148.9150000012929</c:v>
                </c:pt>
                <c:pt idx="25">
                  <c:v>148.78900000072247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169.61099999860386</c:v>
                </c:pt>
                <c:pt idx="1">
                  <c:v>184.15500000098658</c:v>
                </c:pt>
                <c:pt idx="2">
                  <c:v>184.63799999608611</c:v>
                </c:pt>
                <c:pt idx="3">
                  <c:v>188.54299999915938</c:v>
                </c:pt>
                <c:pt idx="4">
                  <c:v>200.64200000008191</c:v>
                </c:pt>
                <c:pt idx="5">
                  <c:v>196.54299999680481</c:v>
                </c:pt>
                <c:pt idx="6">
                  <c:v>206.59799999844742</c:v>
                </c:pt>
                <c:pt idx="7">
                  <c:v>212.93600000125542</c:v>
                </c:pt>
                <c:pt idx="8">
                  <c:v>211.09100000243248</c:v>
                </c:pt>
                <c:pt idx="9">
                  <c:v>228.11900000249298</c:v>
                </c:pt>
                <c:pt idx="10">
                  <c:v>224.53699999893027</c:v>
                </c:pt>
                <c:pt idx="11">
                  <c:v>223.16299999634484</c:v>
                </c:pt>
                <c:pt idx="12">
                  <c:v>226.83999999370545</c:v>
                </c:pt>
                <c:pt idx="13">
                  <c:v>234.63899999341291</c:v>
                </c:pt>
                <c:pt idx="14">
                  <c:v>240.70199999299228</c:v>
                </c:pt>
                <c:pt idx="15">
                  <c:v>243.56499999355367</c:v>
                </c:pt>
                <c:pt idx="16">
                  <c:v>246.19299999388807</c:v>
                </c:pt>
                <c:pt idx="17">
                  <c:v>248.32499999480501</c:v>
                </c:pt>
                <c:pt idx="18">
                  <c:v>250.73899999363562</c:v>
                </c:pt>
                <c:pt idx="19">
                  <c:v>253.0469999934904</c:v>
                </c:pt>
                <c:pt idx="20">
                  <c:v>255.66199999267874</c:v>
                </c:pt>
                <c:pt idx="21">
                  <c:v>258.3459999956707</c:v>
                </c:pt>
                <c:pt idx="22">
                  <c:v>261.10499999567782</c:v>
                </c:pt>
                <c:pt idx="23">
                  <c:v>263.92599999820459</c:v>
                </c:pt>
                <c:pt idx="24" formatCode="#,##0.00">
                  <c:v>266.7939999935997</c:v>
                </c:pt>
                <c:pt idx="25">
                  <c:v>269.70699999639885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428.00899999039433</c:v>
                </c:pt>
                <c:pt idx="1">
                  <c:v>416.08500000227002</c:v>
                </c:pt>
                <c:pt idx="2">
                  <c:v>414.01599999334502</c:v>
                </c:pt>
                <c:pt idx="3">
                  <c:v>421.94899999993066</c:v>
                </c:pt>
                <c:pt idx="4">
                  <c:v>417.09100001075876</c:v>
                </c:pt>
                <c:pt idx="5">
                  <c:v>426.89000000290804</c:v>
                </c:pt>
                <c:pt idx="6">
                  <c:v>446.05600000913495</c:v>
                </c:pt>
                <c:pt idx="7">
                  <c:v>433.51200000861706</c:v>
                </c:pt>
                <c:pt idx="8">
                  <c:v>422.1400000082262</c:v>
                </c:pt>
                <c:pt idx="9">
                  <c:v>426.2240000076718</c:v>
                </c:pt>
                <c:pt idx="10">
                  <c:v>434.84900000751452</c:v>
                </c:pt>
                <c:pt idx="11">
                  <c:v>436.12399999828887</c:v>
                </c:pt>
                <c:pt idx="12">
                  <c:v>436.19500001075562</c:v>
                </c:pt>
                <c:pt idx="13">
                  <c:v>435.82000001192341</c:v>
                </c:pt>
                <c:pt idx="14">
                  <c:v>436.0830000107116</c:v>
                </c:pt>
                <c:pt idx="15">
                  <c:v>436.71000001629199</c:v>
                </c:pt>
                <c:pt idx="16">
                  <c:v>437.02400001548756</c:v>
                </c:pt>
                <c:pt idx="17">
                  <c:v>437.26400000826987</c:v>
                </c:pt>
                <c:pt idx="18">
                  <c:v>437.43900000806769</c:v>
                </c:pt>
                <c:pt idx="19">
                  <c:v>437.60100000815925</c:v>
                </c:pt>
                <c:pt idx="20">
                  <c:v>437.83900000614062</c:v>
                </c:pt>
                <c:pt idx="21">
                  <c:v>438.11200000891449</c:v>
                </c:pt>
                <c:pt idx="22">
                  <c:v>438.36900000888227</c:v>
                </c:pt>
                <c:pt idx="23">
                  <c:v>438.7950000094142</c:v>
                </c:pt>
                <c:pt idx="24" formatCode="#,##0.00">
                  <c:v>439.16600000639556</c:v>
                </c:pt>
                <c:pt idx="25">
                  <c:v>439.50300000112674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108.12299999824837</c:v>
                </c:pt>
                <c:pt idx="1">
                  <c:v>104.59800000090009</c:v>
                </c:pt>
                <c:pt idx="2">
                  <c:v>104.45399999767096</c:v>
                </c:pt>
                <c:pt idx="3">
                  <c:v>102.70000000016375</c:v>
                </c:pt>
                <c:pt idx="4">
                  <c:v>96.391000001029624</c:v>
                </c:pt>
                <c:pt idx="5">
                  <c:v>112.92500000019085</c:v>
                </c:pt>
                <c:pt idx="6">
                  <c:v>109.57800000122683</c:v>
                </c:pt>
                <c:pt idx="7">
                  <c:v>101.10800000049814</c:v>
                </c:pt>
                <c:pt idx="8">
                  <c:v>112.20700000089339</c:v>
                </c:pt>
                <c:pt idx="9">
                  <c:v>111.56700000009519</c:v>
                </c:pt>
                <c:pt idx="10">
                  <c:v>110.01100000134025</c:v>
                </c:pt>
                <c:pt idx="11">
                  <c:v>113.38700000071786</c:v>
                </c:pt>
                <c:pt idx="12">
                  <c:v>112.64900000188747</c:v>
                </c:pt>
                <c:pt idx="13">
                  <c:v>112.79500000194294</c:v>
                </c:pt>
                <c:pt idx="14">
                  <c:v>113.26200000192163</c:v>
                </c:pt>
                <c:pt idx="15">
                  <c:v>113.42100000278673</c:v>
                </c:pt>
                <c:pt idx="16">
                  <c:v>113.47000000286488</c:v>
                </c:pt>
                <c:pt idx="17">
                  <c:v>113.50400000221282</c:v>
                </c:pt>
                <c:pt idx="18">
                  <c:v>113.52300000245488</c:v>
                </c:pt>
                <c:pt idx="19">
                  <c:v>113.53700000169282</c:v>
                </c:pt>
                <c:pt idx="20">
                  <c:v>113.57200000193529</c:v>
                </c:pt>
                <c:pt idx="21">
                  <c:v>113.58300000214463</c:v>
                </c:pt>
                <c:pt idx="22">
                  <c:v>113.58600000256155</c:v>
                </c:pt>
                <c:pt idx="23">
                  <c:v>113.57700000295517</c:v>
                </c:pt>
                <c:pt idx="24" formatCode="#,##0.00">
                  <c:v>113.5640000018508</c:v>
                </c:pt>
                <c:pt idx="25">
                  <c:v>113.54800000141022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208.42299999612186</c:v>
                </c:pt>
                <c:pt idx="1">
                  <c:v>210.14100000156049</c:v>
                </c:pt>
                <c:pt idx="2">
                  <c:v>206.81399999856848</c:v>
                </c:pt>
                <c:pt idx="3">
                  <c:v>213.8440000010159</c:v>
                </c:pt>
                <c:pt idx="4">
                  <c:v>238.45300000455759</c:v>
                </c:pt>
                <c:pt idx="5">
                  <c:v>216.6420000006521</c:v>
                </c:pt>
                <c:pt idx="6">
                  <c:v>237.46000000333373</c:v>
                </c:pt>
                <c:pt idx="7">
                  <c:v>262.80300000364565</c:v>
                </c:pt>
                <c:pt idx="8">
                  <c:v>279.2910000044609</c:v>
                </c:pt>
                <c:pt idx="9">
                  <c:v>260.49800000439967</c:v>
                </c:pt>
                <c:pt idx="10">
                  <c:v>251.32700000328433</c:v>
                </c:pt>
                <c:pt idx="11">
                  <c:v>241.04199999892421</c:v>
                </c:pt>
                <c:pt idx="12">
                  <c:v>247.33900000559413</c:v>
                </c:pt>
                <c:pt idx="13">
                  <c:v>256.67300000646253</c:v>
                </c:pt>
                <c:pt idx="14">
                  <c:v>264.64400000581378</c:v>
                </c:pt>
                <c:pt idx="15">
                  <c:v>269.92100000893032</c:v>
                </c:pt>
                <c:pt idx="16">
                  <c:v>274.59900000851695</c:v>
                </c:pt>
                <c:pt idx="17">
                  <c:v>278.8540000039913</c:v>
                </c:pt>
                <c:pt idx="18">
                  <c:v>282.84300000374145</c:v>
                </c:pt>
                <c:pt idx="19">
                  <c:v>286.6310000048673</c:v>
                </c:pt>
                <c:pt idx="20">
                  <c:v>290.34900000315508</c:v>
                </c:pt>
                <c:pt idx="21">
                  <c:v>293.87800000509986</c:v>
                </c:pt>
                <c:pt idx="22">
                  <c:v>297.26500000462619</c:v>
                </c:pt>
                <c:pt idx="23">
                  <c:v>300.47700000432866</c:v>
                </c:pt>
                <c:pt idx="24" formatCode="#,##0.00">
                  <c:v>303.5200000034398</c:v>
                </c:pt>
                <c:pt idx="25">
                  <c:v>306.40099999814913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14.646000000070638</c:v>
                </c:pt>
                <c:pt idx="1">
                  <c:v>24.64399999979047</c:v>
                </c:pt>
                <c:pt idx="2">
                  <c:v>23.840000000010146</c:v>
                </c:pt>
                <c:pt idx="3">
                  <c:v>14.990999999900437</c:v>
                </c:pt>
                <c:pt idx="4">
                  <c:v>22.275999999741654</c:v>
                </c:pt>
                <c:pt idx="5">
                  <c:v>16.059000000106227</c:v>
                </c:pt>
                <c:pt idx="6">
                  <c:v>16.873999999907443</c:v>
                </c:pt>
                <c:pt idx="7">
                  <c:v>20.268999999901187</c:v>
                </c:pt>
                <c:pt idx="8">
                  <c:v>20.379999999977375</c:v>
                </c:pt>
                <c:pt idx="9">
                  <c:v>23.416999999887025</c:v>
                </c:pt>
                <c:pt idx="10">
                  <c:v>21.507999999811087</c:v>
                </c:pt>
                <c:pt idx="11">
                  <c:v>21.233999999861567</c:v>
                </c:pt>
                <c:pt idx="12">
                  <c:v>21.104999999952373</c:v>
                </c:pt>
                <c:pt idx="13">
                  <c:v>20.961999999959524</c:v>
                </c:pt>
                <c:pt idx="14">
                  <c:v>20.85499999997797</c:v>
                </c:pt>
                <c:pt idx="15">
                  <c:v>20.82799999995634</c:v>
                </c:pt>
                <c:pt idx="16">
                  <c:v>20.781999999916376</c:v>
                </c:pt>
                <c:pt idx="17">
                  <c:v>20.730000000277055</c:v>
                </c:pt>
                <c:pt idx="18">
                  <c:v>20.685000000298089</c:v>
                </c:pt>
                <c:pt idx="19">
                  <c:v>20.634000000299576</c:v>
                </c:pt>
                <c:pt idx="20">
                  <c:v>20.576000000363219</c:v>
                </c:pt>
                <c:pt idx="21">
                  <c:v>20.523000000254271</c:v>
                </c:pt>
                <c:pt idx="22">
                  <c:v>20.469000000295679</c:v>
                </c:pt>
                <c:pt idx="23">
                  <c:v>20.416000000298471</c:v>
                </c:pt>
                <c:pt idx="24" formatCode="#,##0.00">
                  <c:v>20.365000000266804</c:v>
                </c:pt>
                <c:pt idx="25">
                  <c:v>20.314000000065874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63.59300000100658</c:v>
                </c:pt>
                <c:pt idx="1">
                  <c:v>66.068999998827991</c:v>
                </c:pt>
                <c:pt idx="2">
                  <c:v>57.81300000084979</c:v>
                </c:pt>
                <c:pt idx="3">
                  <c:v>63.854999999314053</c:v>
                </c:pt>
                <c:pt idx="4">
                  <c:v>65.711999998692505</c:v>
                </c:pt>
                <c:pt idx="5">
                  <c:v>75.578999999644935</c:v>
                </c:pt>
                <c:pt idx="6">
                  <c:v>80.183999998652141</c:v>
                </c:pt>
                <c:pt idx="7">
                  <c:v>85.81499999923021</c:v>
                </c:pt>
                <c:pt idx="8">
                  <c:v>84.795999998943273</c:v>
                </c:pt>
                <c:pt idx="9">
                  <c:v>69.279999999191404</c:v>
                </c:pt>
                <c:pt idx="10">
                  <c:v>67.076999998766766</c:v>
                </c:pt>
                <c:pt idx="11">
                  <c:v>68.160999999237191</c:v>
                </c:pt>
                <c:pt idx="12">
                  <c:v>68.571999999526994</c:v>
                </c:pt>
                <c:pt idx="13">
                  <c:v>69.529999999440875</c:v>
                </c:pt>
                <c:pt idx="14">
                  <c:v>70.271999999384363</c:v>
                </c:pt>
                <c:pt idx="15">
                  <c:v>70.876999999444081</c:v>
                </c:pt>
                <c:pt idx="16">
                  <c:v>71.412999999275613</c:v>
                </c:pt>
                <c:pt idx="17">
                  <c:v>71.849999999514509</c:v>
                </c:pt>
                <c:pt idx="18">
                  <c:v>72.257999999265877</c:v>
                </c:pt>
                <c:pt idx="19">
                  <c:v>72.660999999969818</c:v>
                </c:pt>
                <c:pt idx="20">
                  <c:v>73.085999999931985</c:v>
                </c:pt>
                <c:pt idx="21">
                  <c:v>73.504999999501337</c:v>
                </c:pt>
                <c:pt idx="22">
                  <c:v>73.906999999302585</c:v>
                </c:pt>
                <c:pt idx="23">
                  <c:v>74.282999998924183</c:v>
                </c:pt>
                <c:pt idx="24" formatCode="#,##0.00">
                  <c:v>74.622999999768922</c:v>
                </c:pt>
                <c:pt idx="25">
                  <c:v>74.937999998995338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83.664000000292361</c:v>
                </c:pt>
                <c:pt idx="1">
                  <c:v>80.249999999135909</c:v>
                </c:pt>
                <c:pt idx="2">
                  <c:v>90.235000000323382</c:v>
                </c:pt>
                <c:pt idx="3">
                  <c:v>91.947999999265562</c:v>
                </c:pt>
                <c:pt idx="4">
                  <c:v>94.490999998942073</c:v>
                </c:pt>
                <c:pt idx="5">
                  <c:v>87.282999999513905</c:v>
                </c:pt>
                <c:pt idx="6">
                  <c:v>84.041999999006194</c:v>
                </c:pt>
                <c:pt idx="7">
                  <c:v>86.728999999440774</c:v>
                </c:pt>
                <c:pt idx="8">
                  <c:v>82.212999999298276</c:v>
                </c:pt>
                <c:pt idx="9">
                  <c:v>77.346999999310384</c:v>
                </c:pt>
                <c:pt idx="10">
                  <c:v>86.266999998916845</c:v>
                </c:pt>
                <c:pt idx="11">
                  <c:v>87.891999999050824</c:v>
                </c:pt>
                <c:pt idx="12">
                  <c:v>87.561999999677653</c:v>
                </c:pt>
                <c:pt idx="13">
                  <c:v>87.169999999601757</c:v>
                </c:pt>
                <c:pt idx="14">
                  <c:v>86.616999999562395</c:v>
                </c:pt>
                <c:pt idx="15">
                  <c:v>86.220000000026459</c:v>
                </c:pt>
                <c:pt idx="16">
                  <c:v>85.920999999763225</c:v>
                </c:pt>
                <c:pt idx="17">
                  <c:v>85.61200000059749</c:v>
                </c:pt>
                <c:pt idx="18">
                  <c:v>85.297000000442509</c:v>
                </c:pt>
                <c:pt idx="19">
                  <c:v>84.974000000936542</c:v>
                </c:pt>
                <c:pt idx="20">
                  <c:v>84.666000001116359</c:v>
                </c:pt>
                <c:pt idx="21">
                  <c:v>84.301000000551198</c:v>
                </c:pt>
                <c:pt idx="22">
                  <c:v>83.937000000610368</c:v>
                </c:pt>
                <c:pt idx="23">
                  <c:v>83.573000000513872</c:v>
                </c:pt>
                <c:pt idx="24" formatCode="#,##0.00">
                  <c:v>83.211000001296824</c:v>
                </c:pt>
                <c:pt idx="25">
                  <c:v>82.849999999566734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41.583000000011559</c:v>
                </c:pt>
                <c:pt idx="1">
                  <c:v>36.711999999739234</c:v>
                </c:pt>
                <c:pt idx="2">
                  <c:v>44.630999999950959</c:v>
                </c:pt>
                <c:pt idx="3">
                  <c:v>51.373999999691456</c:v>
                </c:pt>
                <c:pt idx="4">
                  <c:v>61.413999999622305</c:v>
                </c:pt>
                <c:pt idx="5">
                  <c:v>51.210999999881601</c:v>
                </c:pt>
                <c:pt idx="6">
                  <c:v>53.959999999717461</c:v>
                </c:pt>
                <c:pt idx="7">
                  <c:v>51.497999999943701</c:v>
                </c:pt>
                <c:pt idx="8">
                  <c:v>54.152999999995856</c:v>
                </c:pt>
                <c:pt idx="9">
                  <c:v>55.55400000008057</c:v>
                </c:pt>
                <c:pt idx="10">
                  <c:v>57.623999999695421</c:v>
                </c:pt>
                <c:pt idx="11">
                  <c:v>55.939999999648691</c:v>
                </c:pt>
                <c:pt idx="12">
                  <c:v>54.228000000048993</c:v>
                </c:pt>
                <c:pt idx="13">
                  <c:v>52.885000000027873</c:v>
                </c:pt>
                <c:pt idx="14">
                  <c:v>51.953999999997478</c:v>
                </c:pt>
                <c:pt idx="15">
                  <c:v>51.782000000391605</c:v>
                </c:pt>
                <c:pt idx="16">
                  <c:v>51.738000000338936</c:v>
                </c:pt>
                <c:pt idx="17">
                  <c:v>51.756000000336059</c:v>
                </c:pt>
                <c:pt idx="18">
                  <c:v>51.802000000259703</c:v>
                </c:pt>
                <c:pt idx="19">
                  <c:v>51.859000000434527</c:v>
                </c:pt>
                <c:pt idx="20">
                  <c:v>51.915000000429664</c:v>
                </c:pt>
                <c:pt idx="21">
                  <c:v>51.971000000344404</c:v>
                </c:pt>
                <c:pt idx="22">
                  <c:v>52.024000000374777</c:v>
                </c:pt>
                <c:pt idx="23">
                  <c:v>52.068000000376017</c:v>
                </c:pt>
                <c:pt idx="24" formatCode="#,##0.00">
                  <c:v>52.10200000035303</c:v>
                </c:pt>
                <c:pt idx="25">
                  <c:v>52.122999999801053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190.59800000369054</c:v>
                </c:pt>
                <c:pt idx="1">
                  <c:v>189.12799999625972</c:v>
                </c:pt>
                <c:pt idx="2">
                  <c:v>186.72400000254055</c:v>
                </c:pt>
                <c:pt idx="3">
                  <c:v>183.07699999760271</c:v>
                </c:pt>
                <c:pt idx="4">
                  <c:v>213.47499999535924</c:v>
                </c:pt>
                <c:pt idx="5">
                  <c:v>235.29199999952164</c:v>
                </c:pt>
                <c:pt idx="6">
                  <c:v>219.5989999961549</c:v>
                </c:pt>
                <c:pt idx="7">
                  <c:v>223.89199999761385</c:v>
                </c:pt>
                <c:pt idx="8">
                  <c:v>226.81199999661087</c:v>
                </c:pt>
                <c:pt idx="9">
                  <c:v>262.60599999601573</c:v>
                </c:pt>
                <c:pt idx="10">
                  <c:v>256.70799999545989</c:v>
                </c:pt>
                <c:pt idx="11">
                  <c:v>262.59599999713652</c:v>
                </c:pt>
                <c:pt idx="12">
                  <c:v>264.46699999768623</c:v>
                </c:pt>
                <c:pt idx="13">
                  <c:v>266.75199999761583</c:v>
                </c:pt>
                <c:pt idx="14">
                  <c:v>269.19099999787778</c:v>
                </c:pt>
                <c:pt idx="15">
                  <c:v>271.1549999974726</c:v>
                </c:pt>
                <c:pt idx="16">
                  <c:v>272.98199999669515</c:v>
                </c:pt>
                <c:pt idx="17">
                  <c:v>274.90200000177026</c:v>
                </c:pt>
                <c:pt idx="18">
                  <c:v>276.90200000164305</c:v>
                </c:pt>
                <c:pt idx="19">
                  <c:v>278.99900000293121</c:v>
                </c:pt>
                <c:pt idx="20">
                  <c:v>281.21700000404309</c:v>
                </c:pt>
                <c:pt idx="21">
                  <c:v>283.41200000149229</c:v>
                </c:pt>
                <c:pt idx="22">
                  <c:v>285.62600000171034</c:v>
                </c:pt>
                <c:pt idx="23">
                  <c:v>287.8660000011389</c:v>
                </c:pt>
                <c:pt idx="24" formatCode="#,##0.00">
                  <c:v>290.12300000468548</c:v>
                </c:pt>
                <c:pt idx="25">
                  <c:v>292.391999999419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172.61699999871766</c:v>
                </c:pt>
                <c:pt idx="1">
                  <c:v>175.62000000101767</c:v>
                </c:pt>
                <c:pt idx="2">
                  <c:v>178.80899999931762</c:v>
                </c:pt>
                <c:pt idx="3">
                  <c:v>171.87600000059018</c:v>
                </c:pt>
                <c:pt idx="4">
                  <c:v>205.75500000135037</c:v>
                </c:pt>
                <c:pt idx="5">
                  <c:v>200.57000000032986</c:v>
                </c:pt>
                <c:pt idx="6">
                  <c:v>194.84100000091246</c:v>
                </c:pt>
                <c:pt idx="7">
                  <c:v>209.5810000008</c:v>
                </c:pt>
                <c:pt idx="8">
                  <c:v>208.9980000015052</c:v>
                </c:pt>
                <c:pt idx="9">
                  <c:v>204.11500000118673</c:v>
                </c:pt>
                <c:pt idx="10">
                  <c:v>197.53200000062293</c:v>
                </c:pt>
                <c:pt idx="11">
                  <c:v>202.50500000015509</c:v>
                </c:pt>
                <c:pt idx="12">
                  <c:v>208.71300000138478</c:v>
                </c:pt>
                <c:pt idx="13">
                  <c:v>214.28500000143003</c:v>
                </c:pt>
                <c:pt idx="14">
                  <c:v>216.70600000134846</c:v>
                </c:pt>
                <c:pt idx="15">
                  <c:v>218.57200000236836</c:v>
                </c:pt>
                <c:pt idx="16">
                  <c:v>220.65200000240196</c:v>
                </c:pt>
                <c:pt idx="17">
                  <c:v>222.70700000221476</c:v>
                </c:pt>
                <c:pt idx="18">
                  <c:v>224.75900000219497</c:v>
                </c:pt>
                <c:pt idx="19">
                  <c:v>226.81000000195527</c:v>
                </c:pt>
                <c:pt idx="20">
                  <c:v>228.92700000205008</c:v>
                </c:pt>
                <c:pt idx="21">
                  <c:v>230.97100000219379</c:v>
                </c:pt>
                <c:pt idx="22">
                  <c:v>233.020000002573</c:v>
                </c:pt>
                <c:pt idx="23">
                  <c:v>235.0750000028435</c:v>
                </c:pt>
                <c:pt idx="24" formatCode="#,##0.00">
                  <c:v>237.1350000013484</c:v>
                </c:pt>
                <c:pt idx="25">
                  <c:v>239.20700000090216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85.135000000129935</c:v>
                </c:pt>
                <c:pt idx="1">
                  <c:v>81.459999999637546</c:v>
                </c:pt>
                <c:pt idx="2">
                  <c:v>73.213000000237244</c:v>
                </c:pt>
                <c:pt idx="3">
                  <c:v>73.134999999642574</c:v>
                </c:pt>
                <c:pt idx="4">
                  <c:v>78.227999999917401</c:v>
                </c:pt>
                <c:pt idx="5">
                  <c:v>84.31100000094105</c:v>
                </c:pt>
                <c:pt idx="6">
                  <c:v>77.774999999892941</c:v>
                </c:pt>
                <c:pt idx="7">
                  <c:v>77.589999999858847</c:v>
                </c:pt>
                <c:pt idx="8">
                  <c:v>93.573000000237641</c:v>
                </c:pt>
                <c:pt idx="9">
                  <c:v>91.036000000024075</c:v>
                </c:pt>
                <c:pt idx="10">
                  <c:v>82.259999999820252</c:v>
                </c:pt>
                <c:pt idx="11">
                  <c:v>86.193999999894118</c:v>
                </c:pt>
                <c:pt idx="12">
                  <c:v>90.118000000563626</c:v>
                </c:pt>
                <c:pt idx="13">
                  <c:v>93.251000000706298</c:v>
                </c:pt>
                <c:pt idx="14">
                  <c:v>95.114000000861765</c:v>
                </c:pt>
                <c:pt idx="15">
                  <c:v>96.236000000764321</c:v>
                </c:pt>
                <c:pt idx="16">
                  <c:v>97.723000000608934</c:v>
                </c:pt>
                <c:pt idx="17">
                  <c:v>99.158000002210258</c:v>
                </c:pt>
                <c:pt idx="18">
                  <c:v>100.51900000262374</c:v>
                </c:pt>
                <c:pt idx="19">
                  <c:v>101.84700000232243</c:v>
                </c:pt>
                <c:pt idx="20">
                  <c:v>103.27300000278444</c:v>
                </c:pt>
                <c:pt idx="21">
                  <c:v>104.75700000229838</c:v>
                </c:pt>
                <c:pt idx="22">
                  <c:v>106.28400000271311</c:v>
                </c:pt>
                <c:pt idx="23">
                  <c:v>107.82100000283425</c:v>
                </c:pt>
                <c:pt idx="24" formatCode="#,##0.00">
                  <c:v>109.35900000239664</c:v>
                </c:pt>
                <c:pt idx="25">
                  <c:v>110.89700000135923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78.23299999949711</c:v>
                </c:pt>
                <c:pt idx="1">
                  <c:v>70.744999999713144</c:v>
                </c:pt>
                <c:pt idx="2">
                  <c:v>67.491999999962019</c:v>
                </c:pt>
                <c:pt idx="3">
                  <c:v>86.972999999189256</c:v>
                </c:pt>
                <c:pt idx="4">
                  <c:v>85.975999999692434</c:v>
                </c:pt>
                <c:pt idx="5">
                  <c:v>73.15900000034776</c:v>
                </c:pt>
                <c:pt idx="6">
                  <c:v>80.873999999819404</c:v>
                </c:pt>
                <c:pt idx="7">
                  <c:v>74.182999999582762</c:v>
                </c:pt>
                <c:pt idx="8">
                  <c:v>75.20500000038443</c:v>
                </c:pt>
                <c:pt idx="9">
                  <c:v>84.063000000352474</c:v>
                </c:pt>
                <c:pt idx="10">
                  <c:v>77.623999999617325</c:v>
                </c:pt>
                <c:pt idx="11">
                  <c:v>78.939999999619786</c:v>
                </c:pt>
                <c:pt idx="12">
                  <c:v>79.568000000323082</c:v>
                </c:pt>
                <c:pt idx="13">
                  <c:v>79.961000000366667</c:v>
                </c:pt>
                <c:pt idx="14">
                  <c:v>80.380000000378587</c:v>
                </c:pt>
                <c:pt idx="15">
                  <c:v>80.480000000556501</c:v>
                </c:pt>
                <c:pt idx="16">
                  <c:v>80.535000000456492</c:v>
                </c:pt>
                <c:pt idx="17">
                  <c:v>80.605000001283301</c:v>
                </c:pt>
                <c:pt idx="18">
                  <c:v>80.706000001283556</c:v>
                </c:pt>
                <c:pt idx="19">
                  <c:v>80.84900000132582</c:v>
                </c:pt>
                <c:pt idx="20">
                  <c:v>81.053000001352956</c:v>
                </c:pt>
                <c:pt idx="21">
                  <c:v>81.295000001221752</c:v>
                </c:pt>
                <c:pt idx="22">
                  <c:v>81.568000001333473</c:v>
                </c:pt>
                <c:pt idx="23">
                  <c:v>81.866000001362053</c:v>
                </c:pt>
                <c:pt idx="24" formatCode="#,##0.00">
                  <c:v>82.186000000660002</c:v>
                </c:pt>
                <c:pt idx="25">
                  <c:v>82.535000000182862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117.35300000137559</c:v>
                </c:pt>
                <c:pt idx="1">
                  <c:v>110.26199999907986</c:v>
                </c:pt>
                <c:pt idx="2">
                  <c:v>103.37100000062512</c:v>
                </c:pt>
                <c:pt idx="3">
                  <c:v>104.87799999947228</c:v>
                </c:pt>
                <c:pt idx="4">
                  <c:v>104.01199999856395</c:v>
                </c:pt>
                <c:pt idx="5">
                  <c:v>100.1109999998435</c:v>
                </c:pt>
                <c:pt idx="6">
                  <c:v>99.285999998912558</c:v>
                </c:pt>
                <c:pt idx="7">
                  <c:v>99.157999999285948</c:v>
                </c:pt>
                <c:pt idx="8">
                  <c:v>101.75399999911227</c:v>
                </c:pt>
                <c:pt idx="9">
                  <c:v>102.72299999914765</c:v>
                </c:pt>
                <c:pt idx="10">
                  <c:v>108.89599999894065</c:v>
                </c:pt>
                <c:pt idx="11">
                  <c:v>110.293999999598</c:v>
                </c:pt>
                <c:pt idx="12">
                  <c:v>112.49899999902681</c:v>
                </c:pt>
                <c:pt idx="13">
                  <c:v>113.28399999897091</c:v>
                </c:pt>
                <c:pt idx="14">
                  <c:v>114.35299999905854</c:v>
                </c:pt>
                <c:pt idx="15">
                  <c:v>114.74699999841178</c:v>
                </c:pt>
                <c:pt idx="16">
                  <c:v>114.99899999829378</c:v>
                </c:pt>
                <c:pt idx="17">
                  <c:v>115.26399999950996</c:v>
                </c:pt>
                <c:pt idx="18">
                  <c:v>115.52399999945338</c:v>
                </c:pt>
                <c:pt idx="19">
                  <c:v>115.78099999964557</c:v>
                </c:pt>
                <c:pt idx="20">
                  <c:v>116.03699999988595</c:v>
                </c:pt>
                <c:pt idx="21">
                  <c:v>116.26899999937669</c:v>
                </c:pt>
                <c:pt idx="22">
                  <c:v>116.49199999929137</c:v>
                </c:pt>
                <c:pt idx="23">
                  <c:v>116.70099999907994</c:v>
                </c:pt>
                <c:pt idx="24" formatCode="#,##0.00">
                  <c:v>116.89899999988261</c:v>
                </c:pt>
                <c:pt idx="25">
                  <c:v>117.07899999978541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236.46900000825809</c:v>
                </c:pt>
                <c:pt idx="1">
                  <c:v>243.9390000001107</c:v>
                </c:pt>
                <c:pt idx="2">
                  <c:v>242.7840000086527</c:v>
                </c:pt>
                <c:pt idx="3">
                  <c:v>239.14500000276658</c:v>
                </c:pt>
                <c:pt idx="4">
                  <c:v>232.60899999331232</c:v>
                </c:pt>
                <c:pt idx="5">
                  <c:v>240.68400000146443</c:v>
                </c:pt>
                <c:pt idx="6">
                  <c:v>256.38899999576762</c:v>
                </c:pt>
                <c:pt idx="7">
                  <c:v>253.80099999061116</c:v>
                </c:pt>
                <c:pt idx="8">
                  <c:v>249.33499999189488</c:v>
                </c:pt>
                <c:pt idx="9">
                  <c:v>251.84399999475124</c:v>
                </c:pt>
                <c:pt idx="10">
                  <c:v>241.88599999586123</c:v>
                </c:pt>
                <c:pt idx="11">
                  <c:v>242.27300000711622</c:v>
                </c:pt>
                <c:pt idx="12">
                  <c:v>242.8639999877748</c:v>
                </c:pt>
                <c:pt idx="13">
                  <c:v>243.98499998655427</c:v>
                </c:pt>
                <c:pt idx="14">
                  <c:v>245.37999998809343</c:v>
                </c:pt>
                <c:pt idx="15">
                  <c:v>246.96599997720921</c:v>
                </c:pt>
                <c:pt idx="16">
                  <c:v>248.18099997892523</c:v>
                </c:pt>
                <c:pt idx="17">
                  <c:v>249.43699998586249</c:v>
                </c:pt>
                <c:pt idx="18">
                  <c:v>250.72299998721329</c:v>
                </c:pt>
                <c:pt idx="19">
                  <c:v>252.06399998598351</c:v>
                </c:pt>
                <c:pt idx="20">
                  <c:v>253.61199998725925</c:v>
                </c:pt>
                <c:pt idx="21">
                  <c:v>255.14199998533357</c:v>
                </c:pt>
                <c:pt idx="22">
                  <c:v>256.65599998470026</c:v>
                </c:pt>
                <c:pt idx="23">
                  <c:v>258.15099998376894</c:v>
                </c:pt>
                <c:pt idx="24" formatCode="#,##0.00">
                  <c:v>259.63099998572665</c:v>
                </c:pt>
                <c:pt idx="25">
                  <c:v>261.08100000144287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341.89100000645641</c:v>
                </c:pt>
                <c:pt idx="1">
                  <c:v>348.08000000058405</c:v>
                </c:pt>
                <c:pt idx="2">
                  <c:v>355.45800000646335</c:v>
                </c:pt>
                <c:pt idx="3">
                  <c:v>385.53600000281494</c:v>
                </c:pt>
                <c:pt idx="4">
                  <c:v>389.58299999522922</c:v>
                </c:pt>
                <c:pt idx="5">
                  <c:v>393.18499999545281</c:v>
                </c:pt>
                <c:pt idx="6">
                  <c:v>370.54799999756762</c:v>
                </c:pt>
                <c:pt idx="7">
                  <c:v>375.47799999722054</c:v>
                </c:pt>
                <c:pt idx="8">
                  <c:v>381.23499999364861</c:v>
                </c:pt>
                <c:pt idx="9">
                  <c:v>390.80299999445663</c:v>
                </c:pt>
                <c:pt idx="10">
                  <c:v>375.37799999752212</c:v>
                </c:pt>
                <c:pt idx="11">
                  <c:v>384.0710000033821</c:v>
                </c:pt>
                <c:pt idx="12">
                  <c:v>391.28099999609827</c:v>
                </c:pt>
                <c:pt idx="13">
                  <c:v>397.62699999492673</c:v>
                </c:pt>
                <c:pt idx="14">
                  <c:v>404.97299999526371</c:v>
                </c:pt>
                <c:pt idx="15">
                  <c:v>411.11199999410309</c:v>
                </c:pt>
                <c:pt idx="16">
                  <c:v>416.59399999505894</c:v>
                </c:pt>
                <c:pt idx="17">
                  <c:v>421.91899999047376</c:v>
                </c:pt>
                <c:pt idx="18">
                  <c:v>427.20799998969648</c:v>
                </c:pt>
                <c:pt idx="19">
                  <c:v>432.51399998980003</c:v>
                </c:pt>
                <c:pt idx="20">
                  <c:v>437.83199999009344</c:v>
                </c:pt>
                <c:pt idx="21">
                  <c:v>443.15099998850604</c:v>
                </c:pt>
                <c:pt idx="22">
                  <c:v>448.48899998753274</c:v>
                </c:pt>
                <c:pt idx="23">
                  <c:v>453.86299998568825</c:v>
                </c:pt>
                <c:pt idx="24" formatCode="#,##0.00">
                  <c:v>459.28799998992065</c:v>
                </c:pt>
                <c:pt idx="25">
                  <c:v>464.75999999826109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95.025999999467743</c:v>
                </c:pt>
                <c:pt idx="1">
                  <c:v>87.407000000499465</c:v>
                </c:pt>
                <c:pt idx="2">
                  <c:v>90.429999999292377</c:v>
                </c:pt>
                <c:pt idx="3">
                  <c:v>81.431000000083827</c:v>
                </c:pt>
                <c:pt idx="4">
                  <c:v>85.148000000415152</c:v>
                </c:pt>
                <c:pt idx="5">
                  <c:v>79.554999999860314</c:v>
                </c:pt>
                <c:pt idx="6">
                  <c:v>89.394000000175353</c:v>
                </c:pt>
                <c:pt idx="7">
                  <c:v>97.786000000504842</c:v>
                </c:pt>
                <c:pt idx="8">
                  <c:v>99.260000000637234</c:v>
                </c:pt>
                <c:pt idx="9">
                  <c:v>85.439000000354511</c:v>
                </c:pt>
                <c:pt idx="10">
                  <c:v>98.602000000047738</c:v>
                </c:pt>
                <c:pt idx="11">
                  <c:v>98.116999999707389</c:v>
                </c:pt>
                <c:pt idx="12">
                  <c:v>97.979999999788376</c:v>
                </c:pt>
                <c:pt idx="13">
                  <c:v>98.698999999673276</c:v>
                </c:pt>
                <c:pt idx="14">
                  <c:v>99.817999999547879</c:v>
                </c:pt>
                <c:pt idx="15">
                  <c:v>100.27599999998823</c:v>
                </c:pt>
                <c:pt idx="16">
                  <c:v>100.66400000001715</c:v>
                </c:pt>
                <c:pt idx="17">
                  <c:v>100.95299999950103</c:v>
                </c:pt>
                <c:pt idx="18">
                  <c:v>101.17199999920807</c:v>
                </c:pt>
                <c:pt idx="19">
                  <c:v>101.35699999928249</c:v>
                </c:pt>
                <c:pt idx="20">
                  <c:v>101.6199999991438</c:v>
                </c:pt>
                <c:pt idx="21">
                  <c:v>101.85099999953782</c:v>
                </c:pt>
                <c:pt idx="22">
                  <c:v>102.08199999949302</c:v>
                </c:pt>
                <c:pt idx="23">
                  <c:v>102.29999999966415</c:v>
                </c:pt>
                <c:pt idx="24">
                  <c:v>102.51399999915955</c:v>
                </c:pt>
                <c:pt idx="25">
                  <c:v>102.72099999935368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239.7449999990767</c:v>
                </c:pt>
                <c:pt idx="1">
                  <c:v>230.5570000004208</c:v>
                </c:pt>
                <c:pt idx="2">
                  <c:v>247.09399999793649</c:v>
                </c:pt>
                <c:pt idx="3">
                  <c:v>242.35699999969819</c:v>
                </c:pt>
                <c:pt idx="4">
                  <c:v>232.12600000063765</c:v>
                </c:pt>
                <c:pt idx="5">
                  <c:v>227.85299999965019</c:v>
                </c:pt>
                <c:pt idx="6">
                  <c:v>238.03200000019768</c:v>
                </c:pt>
                <c:pt idx="7">
                  <c:v>234.00700000095929</c:v>
                </c:pt>
                <c:pt idx="8">
                  <c:v>232.7690000016093</c:v>
                </c:pt>
                <c:pt idx="9">
                  <c:v>237.47200000023369</c:v>
                </c:pt>
                <c:pt idx="10">
                  <c:v>237.5010000003135</c:v>
                </c:pt>
                <c:pt idx="11">
                  <c:v>234.49899999953823</c:v>
                </c:pt>
                <c:pt idx="12">
                  <c:v>231.94500000094823</c:v>
                </c:pt>
                <c:pt idx="13">
                  <c:v>229.84400000088618</c:v>
                </c:pt>
                <c:pt idx="14">
                  <c:v>227.98700000089184</c:v>
                </c:pt>
                <c:pt idx="15">
                  <c:v>225.78700000207954</c:v>
                </c:pt>
                <c:pt idx="16">
                  <c:v>224.03700000199973</c:v>
                </c:pt>
                <c:pt idx="17">
                  <c:v>222.25600000246288</c:v>
                </c:pt>
                <c:pt idx="18">
                  <c:v>220.50200000248105</c:v>
                </c:pt>
                <c:pt idx="19">
                  <c:v>218.81100000182153</c:v>
                </c:pt>
                <c:pt idx="20">
                  <c:v>217.35700000231151</c:v>
                </c:pt>
                <c:pt idx="21">
                  <c:v>215.79500000228319</c:v>
                </c:pt>
                <c:pt idx="22">
                  <c:v>214.26300000282095</c:v>
                </c:pt>
                <c:pt idx="23">
                  <c:v>212.78400000342344</c:v>
                </c:pt>
                <c:pt idx="24">
                  <c:v>211.33100000196364</c:v>
                </c:pt>
                <c:pt idx="25">
                  <c:v>210.03700000107335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169.61099999860386</c:v>
                </c:pt>
                <c:pt idx="1">
                  <c:v>184.15500000098658</c:v>
                </c:pt>
                <c:pt idx="2">
                  <c:v>184.63799999608611</c:v>
                </c:pt>
                <c:pt idx="3">
                  <c:v>188.54299999915938</c:v>
                </c:pt>
                <c:pt idx="4">
                  <c:v>200.64200000008191</c:v>
                </c:pt>
                <c:pt idx="5">
                  <c:v>196.54299999680481</c:v>
                </c:pt>
                <c:pt idx="6">
                  <c:v>206.59799999844742</c:v>
                </c:pt>
                <c:pt idx="7">
                  <c:v>212.93600000125542</c:v>
                </c:pt>
                <c:pt idx="8">
                  <c:v>211.09100000243248</c:v>
                </c:pt>
                <c:pt idx="9">
                  <c:v>228.11900000249298</c:v>
                </c:pt>
                <c:pt idx="10">
                  <c:v>224.53699999893027</c:v>
                </c:pt>
                <c:pt idx="11">
                  <c:v>223.16299999634484</c:v>
                </c:pt>
                <c:pt idx="12">
                  <c:v>226.83999999370545</c:v>
                </c:pt>
                <c:pt idx="13">
                  <c:v>234.63899999341291</c:v>
                </c:pt>
                <c:pt idx="14">
                  <c:v>240.70199999299228</c:v>
                </c:pt>
                <c:pt idx="15">
                  <c:v>243.56499999355367</c:v>
                </c:pt>
                <c:pt idx="16">
                  <c:v>246.19299999388807</c:v>
                </c:pt>
                <c:pt idx="17">
                  <c:v>248.32499999480501</c:v>
                </c:pt>
                <c:pt idx="18">
                  <c:v>250.73899999363562</c:v>
                </c:pt>
                <c:pt idx="19">
                  <c:v>253.0469999934904</c:v>
                </c:pt>
                <c:pt idx="20">
                  <c:v>255.66199999267874</c:v>
                </c:pt>
                <c:pt idx="21">
                  <c:v>258.3459999956707</c:v>
                </c:pt>
                <c:pt idx="22">
                  <c:v>261.10499999567782</c:v>
                </c:pt>
                <c:pt idx="23">
                  <c:v>263.92599999820459</c:v>
                </c:pt>
                <c:pt idx="24" formatCode="#,##0.00">
                  <c:v>266.7939999935997</c:v>
                </c:pt>
                <c:pt idx="25">
                  <c:v>269.70699999639885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744.55499998476466</c:v>
                </c:pt>
                <c:pt idx="1">
                  <c:v>730.82400000473058</c:v>
                </c:pt>
                <c:pt idx="2">
                  <c:v>725.28399998958457</c:v>
                </c:pt>
                <c:pt idx="3">
                  <c:v>738.49300000111043</c:v>
                </c:pt>
                <c:pt idx="4">
                  <c:v>751.93500001634595</c:v>
                </c:pt>
                <c:pt idx="5">
                  <c:v>756.45700000375109</c:v>
                </c:pt>
                <c:pt idx="6">
                  <c:v>793.09400001369545</c:v>
                </c:pt>
                <c:pt idx="7">
                  <c:v>797.42300001276089</c:v>
                </c:pt>
                <c:pt idx="8">
                  <c:v>813.63800001358049</c:v>
                </c:pt>
                <c:pt idx="9">
                  <c:v>798.28900001216675</c:v>
                </c:pt>
                <c:pt idx="10">
                  <c:v>796.18700001213904</c:v>
                </c:pt>
                <c:pt idx="11">
                  <c:v>790.5529999979309</c:v>
                </c:pt>
                <c:pt idx="12">
                  <c:v>796.18300001823718</c:v>
                </c:pt>
                <c:pt idx="13">
                  <c:v>805.28800002032892</c:v>
                </c:pt>
                <c:pt idx="14">
                  <c:v>813.98900001844709</c:v>
                </c:pt>
                <c:pt idx="15">
                  <c:v>820.05200002800893</c:v>
                </c:pt>
                <c:pt idx="16">
                  <c:v>825.09300002686928</c:v>
                </c:pt>
                <c:pt idx="17">
                  <c:v>829.622000014474</c:v>
                </c:pt>
                <c:pt idx="18">
                  <c:v>833.80500001426412</c:v>
                </c:pt>
                <c:pt idx="19">
                  <c:v>837.76900001471927</c:v>
                </c:pt>
                <c:pt idx="20">
                  <c:v>841.760000011231</c:v>
                </c:pt>
                <c:pt idx="21">
                  <c:v>845.57300001615909</c:v>
                </c:pt>
                <c:pt idx="22">
                  <c:v>849.22000001607012</c:v>
                </c:pt>
                <c:pt idx="23">
                  <c:v>852.84900001669803</c:v>
                </c:pt>
                <c:pt idx="24">
                  <c:v>856.25000001168621</c:v>
                </c:pt>
                <c:pt idx="25">
                  <c:v>859.4520000006861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730.06900000341636</c:v>
                </c:pt>
                <c:pt idx="1">
                  <c:v>724.62799999412186</c:v>
                </c:pt>
                <c:pt idx="2">
                  <c:v>722.75700000319159</c:v>
                </c:pt>
                <c:pt idx="3">
                  <c:v>737.2289999951962</c:v>
                </c:pt>
                <c:pt idx="4">
                  <c:v>827.32699999331805</c:v>
                </c:pt>
                <c:pt idx="5">
                  <c:v>823.46400000028689</c:v>
                </c:pt>
                <c:pt idx="6">
                  <c:v>808.14899999406282</c:v>
                </c:pt>
                <c:pt idx="7">
                  <c:v>829.55699999637136</c:v>
                </c:pt>
                <c:pt idx="8">
                  <c:v>846.12999999695307</c:v>
                </c:pt>
                <c:pt idx="9">
                  <c:v>867.41799999604837</c:v>
                </c:pt>
                <c:pt idx="10">
                  <c:v>846.59999999271054</c:v>
                </c:pt>
                <c:pt idx="11">
                  <c:v>863.46199999460373</c:v>
                </c:pt>
                <c:pt idx="12">
                  <c:v>874.33299999916369</c:v>
                </c:pt>
                <c:pt idx="13">
                  <c:v>884.79599999914888</c:v>
                </c:pt>
                <c:pt idx="14">
                  <c:v>891.08899999938876</c:v>
                </c:pt>
                <c:pt idx="15">
                  <c:v>896.1500000009803</c:v>
                </c:pt>
                <c:pt idx="16">
                  <c:v>901.74599999945667</c:v>
                </c:pt>
                <c:pt idx="17">
                  <c:v>907.32000000820358</c:v>
                </c:pt>
                <c:pt idx="18">
                  <c:v>912.92800000801151</c:v>
                </c:pt>
                <c:pt idx="19">
                  <c:v>918.63300001017512</c:v>
                </c:pt>
                <c:pt idx="20">
                  <c:v>924.7130000120718</c:v>
                </c:pt>
                <c:pt idx="21">
                  <c:v>930.73500000785737</c:v>
                </c:pt>
                <c:pt idx="22">
                  <c:v>936.83500000891331</c:v>
                </c:pt>
                <c:pt idx="23">
                  <c:v>942.96800000829114</c:v>
                </c:pt>
                <c:pt idx="24">
                  <c:v>949.10400001077608</c:v>
                </c:pt>
                <c:pt idx="25">
                  <c:v>955.25600000029226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695.71300001609006</c:v>
                </c:pt>
                <c:pt idx="1">
                  <c:v>702.28099999977462</c:v>
                </c:pt>
                <c:pt idx="2">
                  <c:v>701.61300001574114</c:v>
                </c:pt>
                <c:pt idx="3">
                  <c:v>729.5590000050538</c:v>
                </c:pt>
                <c:pt idx="4">
                  <c:v>726.20399998710548</c:v>
                </c:pt>
                <c:pt idx="5">
                  <c:v>733.97999999676074</c:v>
                </c:pt>
                <c:pt idx="6">
                  <c:v>726.22299999224788</c:v>
                </c:pt>
                <c:pt idx="7">
                  <c:v>728.43699998711759</c:v>
                </c:pt>
                <c:pt idx="8">
                  <c:v>732.32399998465576</c:v>
                </c:pt>
                <c:pt idx="9">
                  <c:v>745.36999998835552</c:v>
                </c:pt>
                <c:pt idx="10">
                  <c:v>726.15999999232395</c:v>
                </c:pt>
                <c:pt idx="11">
                  <c:v>736.63800001009633</c:v>
                </c:pt>
                <c:pt idx="12">
                  <c:v>746.64399998289991</c:v>
                </c:pt>
                <c:pt idx="13">
                  <c:v>754.89599998045196</c:v>
                </c:pt>
                <c:pt idx="14">
                  <c:v>764.70599998241573</c:v>
                </c:pt>
                <c:pt idx="15">
                  <c:v>772.8249999697241</c:v>
                </c:pt>
                <c:pt idx="16">
                  <c:v>779.77399997227803</c:v>
                </c:pt>
                <c:pt idx="17">
                  <c:v>786.61999997584621</c:v>
                </c:pt>
                <c:pt idx="18">
                  <c:v>793.45499997636307</c:v>
                </c:pt>
                <c:pt idx="19">
                  <c:v>800.35899997542913</c:v>
                </c:pt>
                <c:pt idx="20">
                  <c:v>807.48099997723864</c:v>
                </c:pt>
                <c:pt idx="21">
                  <c:v>814.5619999732163</c:v>
                </c:pt>
                <c:pt idx="22">
                  <c:v>821.63699997152435</c:v>
                </c:pt>
                <c:pt idx="23">
                  <c:v>828.71499996853709</c:v>
                </c:pt>
                <c:pt idx="24">
                  <c:v>835.81799997552991</c:v>
                </c:pt>
                <c:pt idx="25">
                  <c:v>842.91999999948939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26.047500010558128</c:v>
                </c:pt>
                <c:pt idx="1">
                  <c:v>24.787111630178593</c:v>
                </c:pt>
                <c:pt idx="2">
                  <c:v>26.01530264718307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29.223110369214929</c:v>
                </c:pt>
                <c:pt idx="1">
                  <c:v>28.898271326085617</c:v>
                </c:pt>
                <c:pt idx="2">
                  <c:v>29.48236362354692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26.845164331005517</c:v>
                </c:pt>
                <c:pt idx="1">
                  <c:v>27.177448562309287</c:v>
                </c:pt>
                <c:pt idx="2">
                  <c:v>26.525534915244837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6.9749227424650453</c:v>
                </c:pt>
                <c:pt idx="1">
                  <c:v>7.6644591882473927</c:v>
                </c:pt>
                <c:pt idx="2">
                  <c:v>8.3240511922535596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8.0860527806245148</c:v>
                </c:pt>
                <c:pt idx="1">
                  <c:v>8.1069789018247302</c:v>
                </c:pt>
                <c:pt idx="2">
                  <c:v>6.4824373868666365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2.8232497661318554</c:v>
                </c:pt>
                <c:pt idx="1">
                  <c:v>3.3657303913543686</c:v>
                </c:pt>
                <c:pt idx="2">
                  <c:v>3.1703102349049694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-7.8200000044366789</c:v>
                </c:pt>
                <c:pt idx="1">
                  <c:v>23.135999992423649</c:v>
                </c:pt>
                <c:pt idx="2">
                  <c:v>39.730000008388288</c:v>
                </c:pt>
                <c:pt idx="3">
                  <c:v>27.994000002125432</c:v>
                </c:pt>
                <c:pt idx="4">
                  <c:v>9.6480000006633304</c:v>
                </c:pt>
                <c:pt idx="5">
                  <c:v>19.047000000187424</c:v>
                </c:pt>
                <c:pt idx="7">
                  <c:v>111.73499999935166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116.76000000716522</c:v>
                </c:pt>
                <c:pt idx="1">
                  <c:v>108.65600000758161</c:v>
                </c:pt>
                <c:pt idx="2">
                  <c:v>63.264999988546833</c:v>
                </c:pt>
                <c:pt idx="3">
                  <c:v>45.169999997468608</c:v>
                </c:pt>
                <c:pt idx="4">
                  <c:v>-27.463999999240144</c:v>
                </c:pt>
                <c:pt idx="5">
                  <c:v>4.1189999993059274</c:v>
                </c:pt>
                <c:pt idx="7">
                  <c:v>310.50600000082801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0.6738641534223655</c:v>
                </c:pt>
                <c:pt idx="2">
                  <c:v>0.2179212062018987</c:v>
                </c:pt>
                <c:pt idx="3">
                  <c:v>-0.84261754039369752</c:v>
                </c:pt>
                <c:pt idx="4">
                  <c:v>7.9665685931273877E-2</c:v>
                </c:pt>
                <c:pt idx="6">
                  <c:v>0.62042960431503147</c:v>
                </c:pt>
                <c:pt idx="7">
                  <c:v>1.2468340069772266</c:v>
                </c:pt>
                <c:pt idx="8">
                  <c:v>0.89798349522764997</c:v>
                </c:pt>
                <c:pt idx="10">
                  <c:v>2.680081115174815</c:v>
                </c:pt>
                <c:pt idx="11">
                  <c:v>-0.75895911730006205</c:v>
                </c:pt>
                <c:pt idx="12">
                  <c:v>2.672912475363276E-2</c:v>
                </c:pt>
                <c:pt idx="14">
                  <c:v>-1.4017685717510719</c:v>
                </c:pt>
                <c:pt idx="15">
                  <c:v>1.1959782877981162</c:v>
                </c:pt>
                <c:pt idx="16">
                  <c:v>1.3499119672925275</c:v>
                </c:pt>
                <c:pt idx="17">
                  <c:v>1.2948918838459944</c:v>
                </c:pt>
                <c:pt idx="19">
                  <c:v>-0.1429459386828924</c:v>
                </c:pt>
                <c:pt idx="20">
                  <c:v>0.6500723046203527</c:v>
                </c:pt>
                <c:pt idx="21">
                  <c:v>-0.2608080413666114</c:v>
                </c:pt>
                <c:pt idx="22">
                  <c:v>0.60784244009939314</c:v>
                </c:pt>
                <c:pt idx="23">
                  <c:v>0.18717599297484178</c:v>
                </c:pt>
                <c:pt idx="25">
                  <c:v>-0.31546849495365237</c:v>
                </c:pt>
                <c:pt idx="26">
                  <c:v>-0.89167434760123454</c:v>
                </c:pt>
                <c:pt idx="27">
                  <c:v>-0.78231034793608822</c:v>
                </c:pt>
                <c:pt idx="29">
                  <c:v>0.16775772545101209</c:v>
                </c:pt>
                <c:pt idx="30">
                  <c:v>1.3338182216056982</c:v>
                </c:pt>
                <c:pt idx="31">
                  <c:v>2.3337278843928777</c:v>
                </c:pt>
                <c:pt idx="32">
                  <c:v>1.1930934477469402</c:v>
                </c:pt>
                <c:pt idx="33">
                  <c:v>-0.30123647041889745</c:v>
                </c:pt>
                <c:pt idx="34">
                  <c:v>0.60953219122281688</c:v>
                </c:pt>
                <c:pt idx="36">
                  <c:v>1.7233610838155</c:v>
                </c:pt>
                <c:pt idx="37">
                  <c:v>1.0665340956459879</c:v>
                </c:pt>
                <c:pt idx="38">
                  <c:v>1.7289250071525819</c:v>
                </c:pt>
                <c:pt idx="39">
                  <c:v>1.2162728285591395</c:v>
                </c:pt>
                <c:pt idx="40">
                  <c:v>1.44680979585321</c:v>
                </c:pt>
                <c:pt idx="42">
                  <c:v>2.3848942571800036</c:v>
                </c:pt>
                <c:pt idx="43">
                  <c:v>0.24315115938382537</c:v>
                </c:pt>
                <c:pt idx="44">
                  <c:v>1.0563483155450193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0.78076348315760935</c:v>
                </c:pt>
                <c:pt idx="2">
                  <c:v>-0.97286904473028457</c:v>
                </c:pt>
                <c:pt idx="3">
                  <c:v>-4.4230977639318603</c:v>
                </c:pt>
                <c:pt idx="4">
                  <c:v>-1.498286687196615</c:v>
                </c:pt>
                <c:pt idx="6">
                  <c:v>-0.82299327557668889</c:v>
                </c:pt>
                <c:pt idx="7">
                  <c:v>-3.2648100731085594</c:v>
                </c:pt>
                <c:pt idx="8">
                  <c:v>-1.9238725536881773</c:v>
                </c:pt>
                <c:pt idx="10">
                  <c:v>2.8291007509229749</c:v>
                </c:pt>
                <c:pt idx="11">
                  <c:v>-0.91016682706331897</c:v>
                </c:pt>
                <c:pt idx="12">
                  <c:v>-0.26701630735606052</c:v>
                </c:pt>
                <c:pt idx="14">
                  <c:v>2.3457560987282466</c:v>
                </c:pt>
                <c:pt idx="15">
                  <c:v>-0.21912163591644163</c:v>
                </c:pt>
                <c:pt idx="16">
                  <c:v>-1.1389597399025009</c:v>
                </c:pt>
                <c:pt idx="17">
                  <c:v>-0.91180156061418938</c:v>
                </c:pt>
                <c:pt idx="19">
                  <c:v>-1.3618339055217255</c:v>
                </c:pt>
                <c:pt idx="20">
                  <c:v>-3.4350783869264157</c:v>
                </c:pt>
                <c:pt idx="21">
                  <c:v>-2.5287960486382155</c:v>
                </c:pt>
                <c:pt idx="22">
                  <c:v>1.1027009666256804</c:v>
                </c:pt>
                <c:pt idx="23">
                  <c:v>-2.1334614228158855</c:v>
                </c:pt>
                <c:pt idx="25">
                  <c:v>-1.9303891027978137</c:v>
                </c:pt>
                <c:pt idx="26">
                  <c:v>0.82269858431445186</c:v>
                </c:pt>
                <c:pt idx="27">
                  <c:v>0.2818217168554682</c:v>
                </c:pt>
                <c:pt idx="29">
                  <c:v>2.3461637481438036</c:v>
                </c:pt>
                <c:pt idx="30">
                  <c:v>1.532615449320196</c:v>
                </c:pt>
                <c:pt idx="31">
                  <c:v>2.3007175925312096</c:v>
                </c:pt>
                <c:pt idx="32">
                  <c:v>1.4862719943511848</c:v>
                </c:pt>
                <c:pt idx="33">
                  <c:v>5.3996649164600896</c:v>
                </c:pt>
                <c:pt idx="34">
                  <c:v>2.4942467880411323</c:v>
                </c:pt>
                <c:pt idx="36">
                  <c:v>4.9464518649636302</c:v>
                </c:pt>
                <c:pt idx="37">
                  <c:v>2.2051421614749156</c:v>
                </c:pt>
                <c:pt idx="38">
                  <c:v>2.0158424817891651</c:v>
                </c:pt>
                <c:pt idx="39">
                  <c:v>3.4743357012070319</c:v>
                </c:pt>
                <c:pt idx="40">
                  <c:v>3.283378397046044</c:v>
                </c:pt>
                <c:pt idx="42">
                  <c:v>2.3639958503026692</c:v>
                </c:pt>
                <c:pt idx="43">
                  <c:v>4.3344050695211855</c:v>
                </c:pt>
                <c:pt idx="44">
                  <c:v>3.6283073437189506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42.136423774547808</c:v>
                </c:pt>
                <c:pt idx="1">
                  <c:v>12.817273937470034</c:v>
                </c:pt>
                <c:pt idx="2">
                  <c:v>27.438872872423616</c:v>
                </c:pt>
                <c:pt idx="3">
                  <c:v>12.922577562777704</c:v>
                </c:pt>
                <c:pt idx="4">
                  <c:v>15.205600525587187</c:v>
                </c:pt>
                <c:pt idx="5">
                  <c:v>41.873935957154259</c:v>
                </c:pt>
                <c:pt idx="6">
                  <c:v>13.231857275709523</c:v>
                </c:pt>
                <c:pt idx="7">
                  <c:v>4.1878520901451779</c:v>
                </c:pt>
                <c:pt idx="8">
                  <c:v>2.2787729981285629</c:v>
                </c:pt>
                <c:pt idx="9">
                  <c:v>4.5539646753840941</c:v>
                </c:pt>
                <c:pt idx="10">
                  <c:v>19.296007895862942</c:v>
                </c:pt>
                <c:pt idx="11">
                  <c:v>9.6452522244096031</c:v>
                </c:pt>
                <c:pt idx="12">
                  <c:v>-5.5325064068062986</c:v>
                </c:pt>
                <c:pt idx="13">
                  <c:v>2.3151493126970735</c:v>
                </c:pt>
                <c:pt idx="14">
                  <c:v>-14.398647379901746</c:v>
                </c:pt>
                <c:pt idx="15">
                  <c:v>-17.912424164301768</c:v>
                </c:pt>
                <c:pt idx="16">
                  <c:v>-3.9345223671418452</c:v>
                </c:pt>
                <c:pt idx="17">
                  <c:v>-12.599864010901598</c:v>
                </c:pt>
                <c:pt idx="18">
                  <c:v>-0.66984624880860366</c:v>
                </c:pt>
                <c:pt idx="19">
                  <c:v>0.28433475377869222</c:v>
                </c:pt>
                <c:pt idx="20">
                  <c:v>-9.622968801232048</c:v>
                </c:pt>
                <c:pt idx="21">
                  <c:v>6.21220448865094</c:v>
                </c:pt>
                <c:pt idx="22">
                  <c:v>-11.298039829629964</c:v>
                </c:pt>
                <c:pt idx="23">
                  <c:v>-3.4656905962976197</c:v>
                </c:pt>
                <c:pt idx="24">
                  <c:v>-10.44970378945127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8.1777474326033825</c:v>
                </c:pt>
                <c:pt idx="1">
                  <c:v>49.299723606446463</c:v>
                </c:pt>
                <c:pt idx="2">
                  <c:v>34.752245461453043</c:v>
                </c:pt>
                <c:pt idx="3">
                  <c:v>39.895269181712678</c:v>
                </c:pt>
                <c:pt idx="4">
                  <c:v>25.385302399093149</c:v>
                </c:pt>
                <c:pt idx="5">
                  <c:v>57.038315325479459</c:v>
                </c:pt>
                <c:pt idx="6">
                  <c:v>-2.532009972400509</c:v>
                </c:pt>
                <c:pt idx="7">
                  <c:v>11.466800779940939</c:v>
                </c:pt>
                <c:pt idx="8">
                  <c:v>8.7640965921797722</c:v>
                </c:pt>
                <c:pt idx="9">
                  <c:v>13.673599587657044</c:v>
                </c:pt>
                <c:pt idx="10">
                  <c:v>4.4874658015663442</c:v>
                </c:pt>
                <c:pt idx="11">
                  <c:v>-30.209411663895651</c:v>
                </c:pt>
                <c:pt idx="12">
                  <c:v>-2.501655725821557</c:v>
                </c:pt>
                <c:pt idx="13">
                  <c:v>4.1289655951549591</c:v>
                </c:pt>
                <c:pt idx="14">
                  <c:v>-4.0483943006121734</c:v>
                </c:pt>
                <c:pt idx="15">
                  <c:v>9.5740816969780269</c:v>
                </c:pt>
                <c:pt idx="16">
                  <c:v>-1.1769928074885811</c:v>
                </c:pt>
                <c:pt idx="17">
                  <c:v>47.620604476973455</c:v>
                </c:pt>
                <c:pt idx="18">
                  <c:v>11.857410173848194</c:v>
                </c:pt>
                <c:pt idx="19">
                  <c:v>-0.49569219759447813</c:v>
                </c:pt>
                <c:pt idx="20">
                  <c:v>-22.215347719185104</c:v>
                </c:pt>
                <c:pt idx="21">
                  <c:v>23.233343577701334</c:v>
                </c:pt>
                <c:pt idx="22">
                  <c:v>12.783286317275419</c:v>
                </c:pt>
                <c:pt idx="23">
                  <c:v>7.9867267357902989</c:v>
                </c:pt>
                <c:pt idx="24">
                  <c:v>-4.9075552663905242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54.953697712017856</c:v>
                </c:pt>
                <c:pt idx="1">
                  <c:v>97.440986917942723</c:v>
                </c:pt>
                <c:pt idx="2">
                  <c:v>43.548454935230268</c:v>
                </c:pt>
                <c:pt idx="3">
                  <c:v>4.1127458176032974</c:v>
                </c:pt>
                <c:pt idx="4">
                  <c:v>-33.930444598648307</c:v>
                </c:pt>
                <c:pt idx="5">
                  <c:v>-12.985375505931529</c:v>
                </c:pt>
                <c:pt idx="6">
                  <c:v>-3.4107643125810796</c:v>
                </c:pt>
                <c:pt idx="7">
                  <c:v>-14.763730425927605</c:v>
                </c:pt>
                <c:pt idx="8">
                  <c:v>-23.230570540354279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57.477471039049817</c:v>
                </c:pt>
                <c:pt idx="1">
                  <c:v>157.0711323677383</c:v>
                </c:pt>
                <c:pt idx="2">
                  <c:v>35.859952788943644</c:v>
                </c:pt>
                <c:pt idx="3">
                  <c:v>-32.711067389717186</c:v>
                </c:pt>
                <c:pt idx="4">
                  <c:v>8.4776601840322314</c:v>
                </c:pt>
                <c:pt idx="5">
                  <c:v>58.982322453227198</c:v>
                </c:pt>
                <c:pt idx="6">
                  <c:v>1.0179958585162012</c:v>
                </c:pt>
                <c:pt idx="7">
                  <c:v>20.770013053065725</c:v>
                </c:pt>
                <c:pt idx="8">
                  <c:v>3.5605196459717376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146.1163214810247</c:v>
                </c:pt>
                <c:pt idx="1">
                  <c:v>161.10683496973567</c:v>
                </c:pt>
                <c:pt idx="2">
                  <c:v>164.22510887123161</c:v>
                </c:pt>
                <c:pt idx="3">
                  <c:v>170.53903249376822</c:v>
                </c:pt>
                <c:pt idx="4">
                  <c:v>168.44201422058592</c:v>
                </c:pt>
                <c:pt idx="5">
                  <c:v>178.28774463132186</c:v>
                </c:pt>
                <c:pt idx="6">
                  <c:v>189.19007721754329</c:v>
                </c:pt>
                <c:pt idx="7">
                  <c:v>198.56289695967092</c:v>
                </c:pt>
                <c:pt idx="8">
                  <c:v>203.11271230844605</c:v>
                </c:pt>
                <c:pt idx="9">
                  <c:v>213.59764295854791</c:v>
                </c:pt>
                <c:pt idx="10">
                  <c:v>220.42416840586966</c:v>
                </c:pt>
                <c:pt idx="11">
                  <c:v>196.15444198574232</c:v>
                </c:pt>
                <c:pt idx="12">
                  <c:v>198.67922456216886</c:v>
                </c:pt>
                <c:pt idx="13">
                  <c:v>201.6563013405094</c:v>
                </c:pt>
                <c:pt idx="14">
                  <c:v>204.54984972510238</c:v>
                </c:pt>
                <c:pt idx="15">
                  <c:v>206.88200941059679</c:v>
                </c:pt>
                <c:pt idx="16">
                  <c:v>209.02577602816285</c:v>
                </c:pt>
                <c:pt idx="17">
                  <c:v>211.07151684852616</c:v>
                </c:pt>
                <c:pt idx="18">
                  <c:v>213.13307117502106</c:v>
                </c:pt>
                <c:pt idx="19">
                  <c:v>215.2238923144497</c:v>
                </c:pt>
                <c:pt idx="20">
                  <c:v>217.44630190683668</c:v>
                </c:pt>
                <c:pt idx="21">
                  <c:v>219.71539521599942</c:v>
                </c:pt>
                <c:pt idx="22">
                  <c:v>222.01747102701719</c:v>
                </c:pt>
                <c:pt idx="23">
                  <c:v>224.440401390636</c:v>
                </c:pt>
                <c:pt idx="24">
                  <c:v>226.59561371100915</c:v>
                </c:pt>
                <c:pt idx="25">
                  <c:v>228.60191583847305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83.059210291795537</c:v>
                </c:pt>
                <c:pt idx="1">
                  <c:v>94.332393260629303</c:v>
                </c:pt>
                <c:pt idx="2">
                  <c:v>90.278805922427111</c:v>
                </c:pt>
                <c:pt idx="3">
                  <c:v>96.309556429669939</c:v>
                </c:pt>
                <c:pt idx="4">
                  <c:v>115.02822703593485</c:v>
                </c:pt>
                <c:pt idx="5">
                  <c:v>103.43021572953465</c:v>
                </c:pt>
                <c:pt idx="6">
                  <c:v>98.277690013963124</c:v>
                </c:pt>
                <c:pt idx="7">
                  <c:v>112.13118602983778</c:v>
                </c:pt>
                <c:pt idx="8">
                  <c:v>112.7156559146145</c:v>
                </c:pt>
                <c:pt idx="9">
                  <c:v>114.51338190941415</c:v>
                </c:pt>
                <c:pt idx="10">
                  <c:v>116.24748966700469</c:v>
                </c:pt>
                <c:pt idx="11">
                  <c:v>132.05022492576595</c:v>
                </c:pt>
                <c:pt idx="12">
                  <c:v>135.07372228535002</c:v>
                </c:pt>
                <c:pt idx="13">
                  <c:v>138.53766032557559</c:v>
                </c:pt>
                <c:pt idx="14">
                  <c:v>141.61813095042436</c:v>
                </c:pt>
                <c:pt idx="15">
                  <c:v>144.11936184623406</c:v>
                </c:pt>
                <c:pt idx="16">
                  <c:v>146.52744787277052</c:v>
                </c:pt>
                <c:pt idx="17">
                  <c:v>148.82962423942158</c:v>
                </c:pt>
                <c:pt idx="18">
                  <c:v>151.22475783240023</c:v>
                </c:pt>
                <c:pt idx="19">
                  <c:v>153.60526372783232</c:v>
                </c:pt>
                <c:pt idx="20">
                  <c:v>156.05804966797126</c:v>
                </c:pt>
                <c:pt idx="21">
                  <c:v>158.51973364535993</c:v>
                </c:pt>
                <c:pt idx="22">
                  <c:v>160.86951175146694</c:v>
                </c:pt>
                <c:pt idx="23">
                  <c:v>163.19402634206571</c:v>
                </c:pt>
                <c:pt idx="24">
                  <c:v>165.35102020749252</c:v>
                </c:pt>
                <c:pt idx="25">
                  <c:v>165.54721327345115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133.3447998950688</c:v>
                </c:pt>
                <c:pt idx="1">
                  <c:v>131.83320982420258</c:v>
                </c:pt>
                <c:pt idx="2">
                  <c:v>131.39456740615904</c:v>
                </c:pt>
                <c:pt idx="3">
                  <c:v>131.09227432017053</c:v>
                </c:pt>
                <c:pt idx="4">
                  <c:v>139.03018845470686</c:v>
                </c:pt>
                <c:pt idx="5">
                  <c:v>147.35087953346306</c:v>
                </c:pt>
                <c:pt idx="6">
                  <c:v>153.85235188068972</c:v>
                </c:pt>
                <c:pt idx="7">
                  <c:v>152.01413987703245</c:v>
                </c:pt>
                <c:pt idx="8">
                  <c:v>164.66728499882521</c:v>
                </c:pt>
                <c:pt idx="9">
                  <c:v>169.34812313639929</c:v>
                </c:pt>
                <c:pt idx="10">
                  <c:v>174.78975240588667</c:v>
                </c:pt>
                <c:pt idx="11">
                  <c:v>176.0606336931028</c:v>
                </c:pt>
                <c:pt idx="12">
                  <c:v>178.5746600463381</c:v>
                </c:pt>
                <c:pt idx="13">
                  <c:v>181.49546604584285</c:v>
                </c:pt>
                <c:pt idx="14">
                  <c:v>184.28735907947507</c:v>
                </c:pt>
                <c:pt idx="15">
                  <c:v>186.54260993602119</c:v>
                </c:pt>
                <c:pt idx="16">
                  <c:v>188.73427559872485</c:v>
                </c:pt>
                <c:pt idx="17">
                  <c:v>190.87870384706957</c:v>
                </c:pt>
                <c:pt idx="18">
                  <c:v>193.09196622403351</c:v>
                </c:pt>
                <c:pt idx="19">
                  <c:v>195.33536400683255</c:v>
                </c:pt>
                <c:pt idx="20">
                  <c:v>197.69773008539849</c:v>
                </c:pt>
                <c:pt idx="21">
                  <c:v>200.02995363273885</c:v>
                </c:pt>
                <c:pt idx="22">
                  <c:v>202.41590008431038</c:v>
                </c:pt>
                <c:pt idx="23">
                  <c:v>204.82812433245041</c:v>
                </c:pt>
                <c:pt idx="24">
                  <c:v>207.16434140547065</c:v>
                </c:pt>
                <c:pt idx="25">
                  <c:v>209.54199786733972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99.358511002079226</c:v>
                </c:pt>
                <c:pt idx="1">
                  <c:v>106.51554829053407</c:v>
                </c:pt>
                <c:pt idx="2">
                  <c:v>111.4085051996292</c:v>
                </c:pt>
                <c:pt idx="3">
                  <c:v>118.95000901330098</c:v>
                </c:pt>
                <c:pt idx="4">
                  <c:v>121.88984116264101</c:v>
                </c:pt>
                <c:pt idx="5">
                  <c:v>123.14430616433667</c:v>
                </c:pt>
                <c:pt idx="6">
                  <c:v>122.09324019619623</c:v>
                </c:pt>
                <c:pt idx="7">
                  <c:v>130.05949123882294</c:v>
                </c:pt>
                <c:pt idx="8">
                  <c:v>131.34182890341006</c:v>
                </c:pt>
                <c:pt idx="9">
                  <c:v>137.3170036592112</c:v>
                </c:pt>
                <c:pt idx="10">
                  <c:v>136.06688372711437</c:v>
                </c:pt>
                <c:pt idx="11">
                  <c:v>141.9081886992042</c:v>
                </c:pt>
                <c:pt idx="12">
                  <c:v>144.43013974502287</c:v>
                </c:pt>
                <c:pt idx="13">
                  <c:v>146.9827139437798</c:v>
                </c:pt>
                <c:pt idx="14">
                  <c:v>149.6397674431114</c:v>
                </c:pt>
                <c:pt idx="15">
                  <c:v>152.01556031283346</c:v>
                </c:pt>
                <c:pt idx="16">
                  <c:v>154.29820936989776</c:v>
                </c:pt>
                <c:pt idx="17">
                  <c:v>156.52064456033989</c:v>
                </c:pt>
                <c:pt idx="18">
                  <c:v>158.94680538422227</c:v>
                </c:pt>
                <c:pt idx="19">
                  <c:v>161.29999239894116</c:v>
                </c:pt>
                <c:pt idx="20">
                  <c:v>163.72103805308728</c:v>
                </c:pt>
                <c:pt idx="21">
                  <c:v>166.11554212093915</c:v>
                </c:pt>
                <c:pt idx="22">
                  <c:v>168.53025324761344</c:v>
                </c:pt>
                <c:pt idx="23">
                  <c:v>171.07480114507004</c:v>
                </c:pt>
                <c:pt idx="24">
                  <c:v>173.58814099707763</c:v>
                </c:pt>
                <c:pt idx="25">
                  <c:v>175.96215290882705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132.68831127287385</c:v>
                </c:pt>
                <c:pt idx="1">
                  <c:v>136.1655997661297</c:v>
                </c:pt>
                <c:pt idx="2">
                  <c:v>136.20616049585306</c:v>
                </c:pt>
                <c:pt idx="3">
                  <c:v>135.80282708975594</c:v>
                </c:pt>
                <c:pt idx="4">
                  <c:v>130.31926877794447</c:v>
                </c:pt>
                <c:pt idx="5">
                  <c:v>131.96078482642613</c:v>
                </c:pt>
                <c:pt idx="6">
                  <c:v>145.28085982473655</c:v>
                </c:pt>
                <c:pt idx="7">
                  <c:v>139.51282189857199</c:v>
                </c:pt>
                <c:pt idx="8">
                  <c:v>138.69365913674699</c:v>
                </c:pt>
                <c:pt idx="9">
                  <c:v>146.09030944326346</c:v>
                </c:pt>
                <c:pt idx="10">
                  <c:v>147.16638535201332</c:v>
                </c:pt>
                <c:pt idx="11">
                  <c:v>148.25632691271218</c:v>
                </c:pt>
                <c:pt idx="12">
                  <c:v>149.99234175690177</c:v>
                </c:pt>
                <c:pt idx="13">
                  <c:v>151.92331800436321</c:v>
                </c:pt>
                <c:pt idx="14">
                  <c:v>153.96544786831672</c:v>
                </c:pt>
                <c:pt idx="15">
                  <c:v>155.67652326982011</c:v>
                </c:pt>
                <c:pt idx="16">
                  <c:v>157.33751765973437</c:v>
                </c:pt>
                <c:pt idx="17">
                  <c:v>158.9687643453276</c:v>
                </c:pt>
                <c:pt idx="18">
                  <c:v>160.60744040790379</c:v>
                </c:pt>
                <c:pt idx="19">
                  <c:v>162.31685377036976</c:v>
                </c:pt>
                <c:pt idx="20">
                  <c:v>163.9689291410437</c:v>
                </c:pt>
                <c:pt idx="21">
                  <c:v>165.62577874155028</c:v>
                </c:pt>
                <c:pt idx="22">
                  <c:v>167.29192319662954</c:v>
                </c:pt>
                <c:pt idx="23">
                  <c:v>169.00430578021934</c:v>
                </c:pt>
                <c:pt idx="24">
                  <c:v>170.7960068727034</c:v>
                </c:pt>
                <c:pt idx="25">
                  <c:v>172.55168775110647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149.8736590584117</c:v>
                </c:pt>
                <c:pt idx="1">
                  <c:v>143.51443896869674</c:v>
                </c:pt>
                <c:pt idx="2">
                  <c:v>137.81932050349971</c:v>
                </c:pt>
                <c:pt idx="3">
                  <c:v>147.99748730433237</c:v>
                </c:pt>
                <c:pt idx="4">
                  <c:v>153.1065091057836</c:v>
                </c:pt>
                <c:pt idx="5">
                  <c:v>153.3672600969031</c:v>
                </c:pt>
                <c:pt idx="6">
                  <c:v>157.4735937232569</c:v>
                </c:pt>
                <c:pt idx="7">
                  <c:v>157.41258443359521</c:v>
                </c:pt>
                <c:pt idx="8">
                  <c:v>167.8535540200609</c:v>
                </c:pt>
                <c:pt idx="9">
                  <c:v>179.91378446675418</c:v>
                </c:pt>
                <c:pt idx="10">
                  <c:v>195.24119605405735</c:v>
                </c:pt>
                <c:pt idx="11">
                  <c:v>207.31655608808185</c:v>
                </c:pt>
                <c:pt idx="12">
                  <c:v>210.86368617488893</c:v>
                </c:pt>
                <c:pt idx="13">
                  <c:v>214.64550584072796</c:v>
                </c:pt>
                <c:pt idx="14">
                  <c:v>218.32860276235209</c:v>
                </c:pt>
                <c:pt idx="15">
                  <c:v>221.40110061568069</c:v>
                </c:pt>
                <c:pt idx="16">
                  <c:v>224.41901539004411</c:v>
                </c:pt>
                <c:pt idx="17">
                  <c:v>227.36644443022814</c:v>
                </c:pt>
                <c:pt idx="18">
                  <c:v>230.28252900789786</c:v>
                </c:pt>
                <c:pt idx="19">
                  <c:v>233.28206862877883</c:v>
                </c:pt>
                <c:pt idx="20">
                  <c:v>236.38377782841525</c:v>
                </c:pt>
                <c:pt idx="21">
                  <c:v>239.40787409707332</c:v>
                </c:pt>
                <c:pt idx="22">
                  <c:v>242.60077996572008</c:v>
                </c:pt>
                <c:pt idx="23">
                  <c:v>245.93284222555542</c:v>
                </c:pt>
                <c:pt idx="24">
                  <c:v>249.13010319143964</c:v>
                </c:pt>
                <c:pt idx="25">
                  <c:v>252.27951137953681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45.20229381259594</c:v>
                </c:pt>
                <c:pt idx="1">
                  <c:v>44.312794308260777</c:v>
                </c:pt>
                <c:pt idx="2">
                  <c:v>44.674956512041121</c:v>
                </c:pt>
                <c:pt idx="3">
                  <c:v>45.680156484379765</c:v>
                </c:pt>
                <c:pt idx="4">
                  <c:v>42.694107355957598</c:v>
                </c:pt>
                <c:pt idx="5">
                  <c:v>43.995185541434438</c:v>
                </c:pt>
                <c:pt idx="6">
                  <c:v>45.691139805502402</c:v>
                </c:pt>
                <c:pt idx="7">
                  <c:v>51.590585228607104</c:v>
                </c:pt>
                <c:pt idx="8">
                  <c:v>52.843308820532492</c:v>
                </c:pt>
                <c:pt idx="9">
                  <c:v>52.324421892950539</c:v>
                </c:pt>
                <c:pt idx="10">
                  <c:v>57.22704281714396</c:v>
                </c:pt>
                <c:pt idx="11">
                  <c:v>48.816915450771077</c:v>
                </c:pt>
                <c:pt idx="12">
                  <c:v>49.306610427521328</c:v>
                </c:pt>
                <c:pt idx="13">
                  <c:v>49.905145088123952</c:v>
                </c:pt>
                <c:pt idx="14">
                  <c:v>50.483150894725952</c:v>
                </c:pt>
                <c:pt idx="15">
                  <c:v>50.887180174802381</c:v>
                </c:pt>
                <c:pt idx="16">
                  <c:v>51.26107398148752</c:v>
                </c:pt>
                <c:pt idx="17">
                  <c:v>51.638297645741105</c:v>
                </c:pt>
                <c:pt idx="18">
                  <c:v>51.979673555105521</c:v>
                </c:pt>
                <c:pt idx="19">
                  <c:v>52.283606634763494</c:v>
                </c:pt>
                <c:pt idx="20">
                  <c:v>52.610035709224704</c:v>
                </c:pt>
                <c:pt idx="21">
                  <c:v>53.00988843360502</c:v>
                </c:pt>
                <c:pt idx="22">
                  <c:v>53.454089522170541</c:v>
                </c:pt>
                <c:pt idx="23">
                  <c:v>53.878338358069882</c:v>
                </c:pt>
                <c:pt idx="24">
                  <c:v>54.295298772852512</c:v>
                </c:pt>
                <c:pt idx="25">
                  <c:v>54.695032844743452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40.776801363039709</c:v>
                </c:pt>
                <c:pt idx="1">
                  <c:v>49.574982268779145</c:v>
                </c:pt>
                <c:pt idx="2">
                  <c:v>50.937412633416031</c:v>
                </c:pt>
                <c:pt idx="3">
                  <c:v>52.032842784278486</c:v>
                </c:pt>
                <c:pt idx="4">
                  <c:v>53.132041927710148</c:v>
                </c:pt>
                <c:pt idx="5">
                  <c:v>54.70334863148971</c:v>
                </c:pt>
                <c:pt idx="6">
                  <c:v>53.123790475073335</c:v>
                </c:pt>
                <c:pt idx="7">
                  <c:v>52.813105996112526</c:v>
                </c:pt>
                <c:pt idx="8">
                  <c:v>58.546534721980869</c:v>
                </c:pt>
                <c:pt idx="9">
                  <c:v>58.442565330285852</c:v>
                </c:pt>
                <c:pt idx="10">
                  <c:v>58.891200721634888</c:v>
                </c:pt>
                <c:pt idx="11">
                  <c:v>57.699896613355996</c:v>
                </c:pt>
                <c:pt idx="12">
                  <c:v>58.649275442035403</c:v>
                </c:pt>
                <c:pt idx="13">
                  <c:v>59.628487419569453</c:v>
                </c:pt>
                <c:pt idx="14">
                  <c:v>60.644060936226545</c:v>
                </c:pt>
                <c:pt idx="15">
                  <c:v>61.545763256510249</c:v>
                </c:pt>
                <c:pt idx="16">
                  <c:v>62.402742051080217</c:v>
                </c:pt>
                <c:pt idx="17">
                  <c:v>63.225454224889148</c:v>
                </c:pt>
                <c:pt idx="18">
                  <c:v>64.086939458686899</c:v>
                </c:pt>
                <c:pt idx="19">
                  <c:v>64.962549391177973</c:v>
                </c:pt>
                <c:pt idx="20">
                  <c:v>65.876692901816554</c:v>
                </c:pt>
                <c:pt idx="21">
                  <c:v>66.782843468152436</c:v>
                </c:pt>
                <c:pt idx="22">
                  <c:v>67.669164402954976</c:v>
                </c:pt>
                <c:pt idx="23">
                  <c:v>68.560164615639707</c:v>
                </c:pt>
                <c:pt idx="24">
                  <c:v>69.453886991051661</c:v>
                </c:pt>
                <c:pt idx="25">
                  <c:v>70.358001501575828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18.502317688209871</c:v>
                </c:pt>
                <c:pt idx="1">
                  <c:v>21.450474270902376</c:v>
                </c:pt>
                <c:pt idx="2">
                  <c:v>20.90130488188208</c:v>
                </c:pt>
                <c:pt idx="3">
                  <c:v>18.650696235826032</c:v>
                </c:pt>
                <c:pt idx="4">
                  <c:v>18.723017201865403</c:v>
                </c:pt>
                <c:pt idx="5">
                  <c:v>18.918456756356868</c:v>
                </c:pt>
                <c:pt idx="6">
                  <c:v>21.247972486597106</c:v>
                </c:pt>
                <c:pt idx="7">
                  <c:v>20.65347739459094</c:v>
                </c:pt>
                <c:pt idx="8">
                  <c:v>20.448005763000403</c:v>
                </c:pt>
                <c:pt idx="9">
                  <c:v>19.65663641320371</c:v>
                </c:pt>
                <c:pt idx="10">
                  <c:v>21.197229754485431</c:v>
                </c:pt>
                <c:pt idx="11">
                  <c:v>23.956102161473424</c:v>
                </c:pt>
                <c:pt idx="12">
                  <c:v>24.540523716862438</c:v>
                </c:pt>
                <c:pt idx="13">
                  <c:v>25.069557819071864</c:v>
                </c:pt>
                <c:pt idx="14">
                  <c:v>25.586792981032715</c:v>
                </c:pt>
                <c:pt idx="15">
                  <c:v>25.968342007031605</c:v>
                </c:pt>
                <c:pt idx="16">
                  <c:v>26.357184819542741</c:v>
                </c:pt>
                <c:pt idx="17">
                  <c:v>26.726903478906934</c:v>
                </c:pt>
                <c:pt idx="18">
                  <c:v>27.111303145845369</c:v>
                </c:pt>
                <c:pt idx="19">
                  <c:v>27.492625307379509</c:v>
                </c:pt>
                <c:pt idx="20">
                  <c:v>27.945026787387871</c:v>
                </c:pt>
                <c:pt idx="21">
                  <c:v>28.384301410150591</c:v>
                </c:pt>
                <c:pt idx="22">
                  <c:v>28.850735789363902</c:v>
                </c:pt>
                <c:pt idx="23">
                  <c:v>29.205354576770038</c:v>
                </c:pt>
                <c:pt idx="24">
                  <c:v>29.623792421700664</c:v>
                </c:pt>
                <c:pt idx="25">
                  <c:v>29.961326346665203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42.954076239230574</c:v>
                </c:pt>
                <c:pt idx="1">
                  <c:v>53.08560216993115</c:v>
                </c:pt>
                <c:pt idx="2">
                  <c:v>50.932263708717478</c:v>
                </c:pt>
                <c:pt idx="3">
                  <c:v>49.323862078403948</c:v>
                </c:pt>
                <c:pt idx="4">
                  <c:v>55.383154390423144</c:v>
                </c:pt>
                <c:pt idx="5">
                  <c:v>57.633479740380658</c:v>
                </c:pt>
                <c:pt idx="6">
                  <c:v>58.849934070765627</c:v>
                </c:pt>
                <c:pt idx="7">
                  <c:v>56.54183575227411</c:v>
                </c:pt>
                <c:pt idx="8">
                  <c:v>62.133007086224737</c:v>
                </c:pt>
                <c:pt idx="9">
                  <c:v>62.64236339604215</c:v>
                </c:pt>
                <c:pt idx="10">
                  <c:v>62.187444415764752</c:v>
                </c:pt>
                <c:pt idx="11">
                  <c:v>59.430522135093135</c:v>
                </c:pt>
                <c:pt idx="12">
                  <c:v>61.564545341004695</c:v>
                </c:pt>
                <c:pt idx="13">
                  <c:v>63.238167908364204</c:v>
                </c:pt>
                <c:pt idx="14">
                  <c:v>64.42673565786005</c:v>
                </c:pt>
                <c:pt idx="15">
                  <c:v>65.396091153214783</c:v>
                </c:pt>
                <c:pt idx="16">
                  <c:v>66.33409150105858</c:v>
                </c:pt>
                <c:pt idx="17">
                  <c:v>67.267287300097024</c:v>
                </c:pt>
                <c:pt idx="18">
                  <c:v>68.201483980855201</c:v>
                </c:pt>
                <c:pt idx="19">
                  <c:v>69.162191991600977</c:v>
                </c:pt>
                <c:pt idx="20">
                  <c:v>70.150790347283404</c:v>
                </c:pt>
                <c:pt idx="21">
                  <c:v>71.139334700854292</c:v>
                </c:pt>
                <c:pt idx="22">
                  <c:v>72.383959437607828</c:v>
                </c:pt>
                <c:pt idx="23">
                  <c:v>73.641472847553771</c:v>
                </c:pt>
                <c:pt idx="24">
                  <c:v>74.835180617665372</c:v>
                </c:pt>
                <c:pt idx="25">
                  <c:v>75.861044003421796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154.62487846216808</c:v>
                </c:pt>
                <c:pt idx="1">
                  <c:v>141.76043391725383</c:v>
                </c:pt>
                <c:pt idx="2">
                  <c:v>144.90591908163296</c:v>
                </c:pt>
                <c:pt idx="3">
                  <c:v>149.21674215145003</c:v>
                </c:pt>
                <c:pt idx="4">
                  <c:v>158.41583382978581</c:v>
                </c:pt>
                <c:pt idx="5">
                  <c:v>156.95041475761286</c:v>
                </c:pt>
                <c:pt idx="6">
                  <c:v>158.69611647984647</c:v>
                </c:pt>
                <c:pt idx="7">
                  <c:v>164.10166006762711</c:v>
                </c:pt>
                <c:pt idx="8">
                  <c:v>165.23281314616469</c:v>
                </c:pt>
                <c:pt idx="9">
                  <c:v>168.68090546711812</c:v>
                </c:pt>
                <c:pt idx="10">
                  <c:v>176.2464226534758</c:v>
                </c:pt>
                <c:pt idx="11">
                  <c:v>166.54795342317695</c:v>
                </c:pt>
                <c:pt idx="12">
                  <c:v>167.88562118270514</c:v>
                </c:pt>
                <c:pt idx="13">
                  <c:v>169.56394606207752</c:v>
                </c:pt>
                <c:pt idx="14">
                  <c:v>171.11053215943974</c:v>
                </c:pt>
                <c:pt idx="15">
                  <c:v>172.1322735103268</c:v>
                </c:pt>
                <c:pt idx="16">
                  <c:v>173.01964241238127</c:v>
                </c:pt>
                <c:pt idx="17">
                  <c:v>173.80876458976155</c:v>
                </c:pt>
                <c:pt idx="18">
                  <c:v>174.61881157148392</c:v>
                </c:pt>
                <c:pt idx="19">
                  <c:v>175.47115751766714</c:v>
                </c:pt>
                <c:pt idx="20">
                  <c:v>176.4047639511333</c:v>
                </c:pt>
                <c:pt idx="21">
                  <c:v>177.34234764944452</c:v>
                </c:pt>
                <c:pt idx="22">
                  <c:v>178.23260698067708</c:v>
                </c:pt>
                <c:pt idx="23">
                  <c:v>179.09637796221972</c:v>
                </c:pt>
                <c:pt idx="24">
                  <c:v>179.9605766125643</c:v>
                </c:pt>
                <c:pt idx="25">
                  <c:v>180.73388845504215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228.58032257621102</c:v>
                </c:pt>
                <c:pt idx="1">
                  <c:v>220.38305919066397</c:v>
                </c:pt>
                <c:pt idx="2">
                  <c:v>223.8753001954702</c:v>
                </c:pt>
                <c:pt idx="3">
                  <c:v>224.12424137765623</c:v>
                </c:pt>
                <c:pt idx="4">
                  <c:v>232.27493808414059</c:v>
                </c:pt>
                <c:pt idx="5">
                  <c:v>230.65190493606553</c:v>
                </c:pt>
                <c:pt idx="6">
                  <c:v>224.21886665052821</c:v>
                </c:pt>
                <c:pt idx="7">
                  <c:v>233.15127563875612</c:v>
                </c:pt>
                <c:pt idx="8">
                  <c:v>228.94193394850086</c:v>
                </c:pt>
                <c:pt idx="9">
                  <c:v>227.98629979690097</c:v>
                </c:pt>
                <c:pt idx="10">
                  <c:v>240.29715716047514</c:v>
                </c:pt>
                <c:pt idx="11">
                  <c:v>223.96501041505496</c:v>
                </c:pt>
                <c:pt idx="12">
                  <c:v>223.67905558541463</c:v>
                </c:pt>
                <c:pt idx="13">
                  <c:v>223.63064882932557</c:v>
                </c:pt>
                <c:pt idx="14">
                  <c:v>223.30306989602832</c:v>
                </c:pt>
                <c:pt idx="15">
                  <c:v>222.21315201120595</c:v>
                </c:pt>
                <c:pt idx="16">
                  <c:v>220.86928924330687</c:v>
                </c:pt>
                <c:pt idx="17">
                  <c:v>219.48250339134063</c:v>
                </c:pt>
                <c:pt idx="18">
                  <c:v>218.26710662910901</c:v>
                </c:pt>
                <c:pt idx="19">
                  <c:v>216.96375468989891</c:v>
                </c:pt>
                <c:pt idx="20">
                  <c:v>215.74742199142804</c:v>
                </c:pt>
                <c:pt idx="21">
                  <c:v>214.61625039970528</c:v>
                </c:pt>
                <c:pt idx="22">
                  <c:v>213.6372838905497</c:v>
                </c:pt>
                <c:pt idx="23">
                  <c:v>212.60376001023644</c:v>
                </c:pt>
                <c:pt idx="24">
                  <c:v>211.43409228035108</c:v>
                </c:pt>
                <c:pt idx="25">
                  <c:v>210.08774549657949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73.737361865981015</c:v>
                </c:pt>
                <c:pt idx="1">
                  <c:v>62.120487745837337</c:v>
                </c:pt>
                <c:pt idx="2">
                  <c:v>61.189587520118835</c:v>
                </c:pt>
                <c:pt idx="3">
                  <c:v>65.959997954042507</c:v>
                </c:pt>
                <c:pt idx="4">
                  <c:v>66.570677760880926</c:v>
                </c:pt>
                <c:pt idx="5">
                  <c:v>59.576249167735241</c:v>
                </c:pt>
                <c:pt idx="6">
                  <c:v>55.221367381206214</c:v>
                </c:pt>
                <c:pt idx="7">
                  <c:v>58.402373381891771</c:v>
                </c:pt>
                <c:pt idx="8">
                  <c:v>59.241822667049483</c:v>
                </c:pt>
                <c:pt idx="9">
                  <c:v>55.290868543472513</c:v>
                </c:pt>
                <c:pt idx="10">
                  <c:v>54.043742760928943</c:v>
                </c:pt>
                <c:pt idx="11">
                  <c:v>61.021658044045076</c:v>
                </c:pt>
                <c:pt idx="12">
                  <c:v>60.236751835567375</c:v>
                </c:pt>
                <c:pt idx="13">
                  <c:v>59.44022355782262</c:v>
                </c:pt>
                <c:pt idx="14">
                  <c:v>58.466725208511079</c:v>
                </c:pt>
                <c:pt idx="15">
                  <c:v>57.326820709618758</c:v>
                </c:pt>
                <c:pt idx="16">
                  <c:v>56.430630594669289</c:v>
                </c:pt>
                <c:pt idx="17">
                  <c:v>55.960160848455708</c:v>
                </c:pt>
                <c:pt idx="18">
                  <c:v>55.075012037048793</c:v>
                </c:pt>
                <c:pt idx="19">
                  <c:v>54.091004712496989</c:v>
                </c:pt>
                <c:pt idx="20">
                  <c:v>52.729915081167732</c:v>
                </c:pt>
                <c:pt idx="21">
                  <c:v>51.555582590645614</c:v>
                </c:pt>
                <c:pt idx="22">
                  <c:v>50.384482142685926</c:v>
                </c:pt>
                <c:pt idx="23">
                  <c:v>49.072954870888353</c:v>
                </c:pt>
                <c:pt idx="24">
                  <c:v>48.456492698068132</c:v>
                </c:pt>
                <c:pt idx="25">
                  <c:v>51.542087035107386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46.171649346049243</c:v>
                </c:pt>
                <c:pt idx="1">
                  <c:v>42.504448265338567</c:v>
                </c:pt>
                <c:pt idx="2">
                  <c:v>40.838718119287186</c:v>
                </c:pt>
                <c:pt idx="3">
                  <c:v>39.433135582825656</c:v>
                </c:pt>
                <c:pt idx="4">
                  <c:v>43.42723941275662</c:v>
                </c:pt>
                <c:pt idx="5">
                  <c:v>41.074614853304986</c:v>
                </c:pt>
                <c:pt idx="6">
                  <c:v>44.055525964372471</c:v>
                </c:pt>
                <c:pt idx="7">
                  <c:v>44.424674685754006</c:v>
                </c:pt>
                <c:pt idx="8">
                  <c:v>44.668324691403946</c:v>
                </c:pt>
                <c:pt idx="9">
                  <c:v>39.9365454081248</c:v>
                </c:pt>
                <c:pt idx="10">
                  <c:v>43.38976416600206</c:v>
                </c:pt>
                <c:pt idx="11">
                  <c:v>41.602091206412268</c:v>
                </c:pt>
                <c:pt idx="12">
                  <c:v>41.999674029819367</c:v>
                </c:pt>
                <c:pt idx="13">
                  <c:v>42.705989542218973</c:v>
                </c:pt>
                <c:pt idx="14">
                  <c:v>43.278176627107356</c:v>
                </c:pt>
                <c:pt idx="15">
                  <c:v>43.637142204273772</c:v>
                </c:pt>
                <c:pt idx="16">
                  <c:v>43.978058382904244</c:v>
                </c:pt>
                <c:pt idx="17">
                  <c:v>44.310229618867936</c:v>
                </c:pt>
                <c:pt idx="18">
                  <c:v>44.645299583904887</c:v>
                </c:pt>
                <c:pt idx="19">
                  <c:v>44.959583411266294</c:v>
                </c:pt>
                <c:pt idx="20">
                  <c:v>45.35317426101976</c:v>
                </c:pt>
                <c:pt idx="21">
                  <c:v>45.750259185744433</c:v>
                </c:pt>
                <c:pt idx="22">
                  <c:v>46.202894483507528</c:v>
                </c:pt>
                <c:pt idx="23">
                  <c:v>46.658673804836084</c:v>
                </c:pt>
                <c:pt idx="24">
                  <c:v>47.096873732468097</c:v>
                </c:pt>
                <c:pt idx="25">
                  <c:v>47.518729761157019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104.23907361907936</c:v>
                </c:pt>
                <c:pt idx="1">
                  <c:v>114.72987470281227</c:v>
                </c:pt>
                <c:pt idx="2">
                  <c:v>103.07144261184719</c:v>
                </c:pt>
                <c:pt idx="3">
                  <c:v>109.13200150838132</c:v>
                </c:pt>
                <c:pt idx="4">
                  <c:v>112.47669407128171</c:v>
                </c:pt>
                <c:pt idx="5">
                  <c:v>119.78442551978591</c:v>
                </c:pt>
                <c:pt idx="6">
                  <c:v>115.55321131579302</c:v>
                </c:pt>
                <c:pt idx="7">
                  <c:v>110.19101666321549</c:v>
                </c:pt>
                <c:pt idx="8">
                  <c:v>113.22516273419423</c:v>
                </c:pt>
                <c:pt idx="9">
                  <c:v>117.51869225195854</c:v>
                </c:pt>
                <c:pt idx="10">
                  <c:v>105.38577813988417</c:v>
                </c:pt>
                <c:pt idx="11">
                  <c:v>105.39551088643789</c:v>
                </c:pt>
                <c:pt idx="12">
                  <c:v>105.05100512178063</c:v>
                </c:pt>
                <c:pt idx="13">
                  <c:v>105.10747192472462</c:v>
                </c:pt>
                <c:pt idx="14">
                  <c:v>105.01843048717548</c:v>
                </c:pt>
                <c:pt idx="15">
                  <c:v>104.59063274076206</c:v>
                </c:pt>
                <c:pt idx="16">
                  <c:v>104.25582279490844</c:v>
                </c:pt>
                <c:pt idx="17">
                  <c:v>103.92975032646945</c:v>
                </c:pt>
                <c:pt idx="18">
                  <c:v>103.59530763469779</c:v>
                </c:pt>
                <c:pt idx="19">
                  <c:v>103.28395898697562</c:v>
                </c:pt>
                <c:pt idx="20">
                  <c:v>102.99830223417283</c:v>
                </c:pt>
                <c:pt idx="21">
                  <c:v>102.69760848726494</c:v>
                </c:pt>
                <c:pt idx="22">
                  <c:v>102.3749565846921</c:v>
                </c:pt>
                <c:pt idx="23">
                  <c:v>102.04369633200407</c:v>
                </c:pt>
                <c:pt idx="24">
                  <c:v>101.66697361451627</c:v>
                </c:pt>
                <c:pt idx="25">
                  <c:v>101.33738383927199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102.89811538740153</c:v>
                </c:pt>
                <c:pt idx="1">
                  <c:v>103.30005185566088</c:v>
                </c:pt>
                <c:pt idx="2">
                  <c:v>101.90152447876137</c:v>
                </c:pt>
                <c:pt idx="3">
                  <c:v>103.13386471146858</c:v>
                </c:pt>
                <c:pt idx="4">
                  <c:v>110.64072300693242</c:v>
                </c:pt>
                <c:pt idx="5">
                  <c:v>111.7064966465005</c:v>
                </c:pt>
                <c:pt idx="6">
                  <c:v>107.23317214242351</c:v>
                </c:pt>
                <c:pt idx="7">
                  <c:v>110.83174535637048</c:v>
                </c:pt>
                <c:pt idx="8">
                  <c:v>104.62268566727066</c:v>
                </c:pt>
                <c:pt idx="9">
                  <c:v>115.93625145857176</c:v>
                </c:pt>
                <c:pt idx="10">
                  <c:v>93.794072482198729</c:v>
                </c:pt>
                <c:pt idx="11">
                  <c:v>99.592901304306935</c:v>
                </c:pt>
                <c:pt idx="12">
                  <c:v>100.01289430166329</c:v>
                </c:pt>
                <c:pt idx="13">
                  <c:v>101.41262625597986</c:v>
                </c:pt>
                <c:pt idx="14">
                  <c:v>102.45709260677603</c:v>
                </c:pt>
                <c:pt idx="15">
                  <c:v>102.69428827818803</c:v>
                </c:pt>
                <c:pt idx="16">
                  <c:v>102.91244303016644</c:v>
                </c:pt>
                <c:pt idx="17">
                  <c:v>103.03697735777875</c:v>
                </c:pt>
                <c:pt idx="18">
                  <c:v>103.10890295363184</c:v>
                </c:pt>
                <c:pt idx="19">
                  <c:v>103.19145423555391</c:v>
                </c:pt>
                <c:pt idx="20">
                  <c:v>103.30121733364086</c:v>
                </c:pt>
                <c:pt idx="21">
                  <c:v>103.36604635719642</c:v>
                </c:pt>
                <c:pt idx="22">
                  <c:v>103.39417872770662</c:v>
                </c:pt>
                <c:pt idx="23">
                  <c:v>103.39518728373713</c:v>
                </c:pt>
                <c:pt idx="24">
                  <c:v>103.37244195189896</c:v>
                </c:pt>
                <c:pt idx="25">
                  <c:v>103.36815417917676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58.71256353123966</c:v>
                </c:pt>
                <c:pt idx="1">
                  <c:v>56.737040602272046</c:v>
                </c:pt>
                <c:pt idx="2">
                  <c:v>59.785465586868419</c:v>
                </c:pt>
                <c:pt idx="3">
                  <c:v>58.352930637417153</c:v>
                </c:pt>
                <c:pt idx="4">
                  <c:v>62.012247431074563</c:v>
                </c:pt>
                <c:pt idx="5">
                  <c:v>59.378092512611914</c:v>
                </c:pt>
                <c:pt idx="6">
                  <c:v>60.92282001035526</c:v>
                </c:pt>
                <c:pt idx="7">
                  <c:v>63.669449326568028</c:v>
                </c:pt>
                <c:pt idx="8">
                  <c:v>61.763476043758878</c:v>
                </c:pt>
                <c:pt idx="9">
                  <c:v>56.992633434301148</c:v>
                </c:pt>
                <c:pt idx="10">
                  <c:v>55.443570145470069</c:v>
                </c:pt>
                <c:pt idx="11">
                  <c:v>55.462426436909901</c:v>
                </c:pt>
                <c:pt idx="12">
                  <c:v>55.722636077888104</c:v>
                </c:pt>
                <c:pt idx="13">
                  <c:v>56.083782407172279</c:v>
                </c:pt>
                <c:pt idx="14">
                  <c:v>56.269133871933306</c:v>
                </c:pt>
                <c:pt idx="15">
                  <c:v>56.258672802843392</c:v>
                </c:pt>
                <c:pt idx="16">
                  <c:v>56.235689638558128</c:v>
                </c:pt>
                <c:pt idx="17">
                  <c:v>56.156465990917653</c:v>
                </c:pt>
                <c:pt idx="18">
                  <c:v>56.086055273330629</c:v>
                </c:pt>
                <c:pt idx="19">
                  <c:v>55.98025324738456</c:v>
                </c:pt>
                <c:pt idx="20">
                  <c:v>55.857330143578793</c:v>
                </c:pt>
                <c:pt idx="21">
                  <c:v>55.729029475204818</c:v>
                </c:pt>
                <c:pt idx="22">
                  <c:v>55.556794452764223</c:v>
                </c:pt>
                <c:pt idx="23">
                  <c:v>55.342797570040375</c:v>
                </c:pt>
                <c:pt idx="24">
                  <c:v>55.157722323456625</c:v>
                </c:pt>
                <c:pt idx="25">
                  <c:v>54.266577337981488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211.44599714519839</c:v>
                </c:pt>
                <c:pt idx="1">
                  <c:v>196.17313942125685</c:v>
                </c:pt>
                <c:pt idx="2">
                  <c:v>207.10140061551175</c:v>
                </c:pt>
                <c:pt idx="3">
                  <c:v>214.18097472457038</c:v>
                </c:pt>
                <c:pt idx="4">
                  <c:v>223.09005066963371</c:v>
                </c:pt>
                <c:pt idx="5">
                  <c:v>226.34981501818203</c:v>
                </c:pt>
                <c:pt idx="6">
                  <c:v>225.29701574948396</c:v>
                </c:pt>
                <c:pt idx="7">
                  <c:v>221.60029639692024</c:v>
                </c:pt>
                <c:pt idx="8">
                  <c:v>220.83071067575617</c:v>
                </c:pt>
                <c:pt idx="9">
                  <c:v>223.82371960747344</c:v>
                </c:pt>
                <c:pt idx="10">
                  <c:v>213.74995100728043</c:v>
                </c:pt>
                <c:pt idx="11">
                  <c:v>222.99397794968652</c:v>
                </c:pt>
                <c:pt idx="12">
                  <c:v>226.12123341176854</c:v>
                </c:pt>
                <c:pt idx="13">
                  <c:v>229.27860079418934</c:v>
                </c:pt>
                <c:pt idx="14">
                  <c:v>232.48318901982302</c:v>
                </c:pt>
                <c:pt idx="15">
                  <c:v>235.35687974236151</c:v>
                </c:pt>
                <c:pt idx="16">
                  <c:v>237.91490063007595</c:v>
                </c:pt>
                <c:pt idx="17">
                  <c:v>240.27092644723595</c:v>
                </c:pt>
                <c:pt idx="18">
                  <c:v>242.979624129641</c:v>
                </c:pt>
                <c:pt idx="19">
                  <c:v>245.70771003968076</c:v>
                </c:pt>
                <c:pt idx="20">
                  <c:v>248.51536995621203</c:v>
                </c:pt>
                <c:pt idx="21">
                  <c:v>251.26171194965056</c:v>
                </c:pt>
                <c:pt idx="22">
                  <c:v>253.69069666372235</c:v>
                </c:pt>
                <c:pt idx="23">
                  <c:v>256.19560307093872</c:v>
                </c:pt>
                <c:pt idx="24">
                  <c:v>258.7447356837169</c:v>
                </c:pt>
                <c:pt idx="25">
                  <c:v>261.37055548425388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62.502899652235463</c:v>
                </c:pt>
                <c:pt idx="1">
                  <c:v>63.498478949951981</c:v>
                </c:pt>
                <c:pt idx="2">
                  <c:v>58.744243632843379</c:v>
                </c:pt>
                <c:pt idx="3">
                  <c:v>64.286749048130019</c:v>
                </c:pt>
                <c:pt idx="4">
                  <c:v>68.664783687502364</c:v>
                </c:pt>
                <c:pt idx="5">
                  <c:v>61.407742014586113</c:v>
                </c:pt>
                <c:pt idx="6">
                  <c:v>62.673468139171931</c:v>
                </c:pt>
                <c:pt idx="7">
                  <c:v>64.262863017263939</c:v>
                </c:pt>
                <c:pt idx="8">
                  <c:v>66.798737297586413</c:v>
                </c:pt>
                <c:pt idx="9">
                  <c:v>68.70716383370474</c:v>
                </c:pt>
                <c:pt idx="10">
                  <c:v>60.737895765777509</c:v>
                </c:pt>
                <c:pt idx="11">
                  <c:v>62.022996605933677</c:v>
                </c:pt>
                <c:pt idx="12">
                  <c:v>63.321578581564104</c:v>
                </c:pt>
                <c:pt idx="13">
                  <c:v>64.458642632030134</c:v>
                </c:pt>
                <c:pt idx="14">
                  <c:v>65.42583550463236</c:v>
                </c:pt>
                <c:pt idx="15">
                  <c:v>66.143086174876487</c:v>
                </c:pt>
                <c:pt idx="16">
                  <c:v>66.848164613058941</c:v>
                </c:pt>
                <c:pt idx="17">
                  <c:v>67.529894725288813</c:v>
                </c:pt>
                <c:pt idx="18">
                  <c:v>68.206720485828569</c:v>
                </c:pt>
                <c:pt idx="19">
                  <c:v>68.873610943939909</c:v>
                </c:pt>
                <c:pt idx="20">
                  <c:v>69.570348636428335</c:v>
                </c:pt>
                <c:pt idx="21">
                  <c:v>70.262734893600182</c:v>
                </c:pt>
                <c:pt idx="22">
                  <c:v>70.958427962084087</c:v>
                </c:pt>
                <c:pt idx="23">
                  <c:v>71.652151676032247</c:v>
                </c:pt>
                <c:pt idx="24">
                  <c:v>72.243413909801731</c:v>
                </c:pt>
                <c:pt idx="25">
                  <c:v>72.595305939625703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3.5618895482553876</c:v>
                </c:pt>
                <c:pt idx="1">
                  <c:v>2.5034764349607577</c:v>
                </c:pt>
                <c:pt idx="2">
                  <c:v>2.3855821831479762</c:v>
                </c:pt>
                <c:pt idx="3">
                  <c:v>1.9790121722574492</c:v>
                </c:pt>
                <c:pt idx="4">
                  <c:v>2.2899807089018127</c:v>
                </c:pt>
                <c:pt idx="5">
                  <c:v>2.3131508259259101</c:v>
                </c:pt>
                <c:pt idx="6">
                  <c:v>1.9373354753452146</c:v>
                </c:pt>
                <c:pt idx="7">
                  <c:v>2.132168243710491</c:v>
                </c:pt>
                <c:pt idx="8">
                  <c:v>2.2710633752994207</c:v>
                </c:pt>
                <c:pt idx="9">
                  <c:v>1.9078836606945633</c:v>
                </c:pt>
                <c:pt idx="10">
                  <c:v>2.5974855797046024</c:v>
                </c:pt>
                <c:pt idx="11">
                  <c:v>1.9073891610675024</c:v>
                </c:pt>
                <c:pt idx="12">
                  <c:v>1.9354848631255204</c:v>
                </c:pt>
                <c:pt idx="13">
                  <c:v>1.9622248194824803</c:v>
                </c:pt>
                <c:pt idx="14">
                  <c:v>1.9840067462005266</c:v>
                </c:pt>
                <c:pt idx="15">
                  <c:v>1.9940000216567171</c:v>
                </c:pt>
                <c:pt idx="16">
                  <c:v>2.005164456854581</c:v>
                </c:pt>
                <c:pt idx="17">
                  <c:v>2.0150088656916867</c:v>
                </c:pt>
                <c:pt idx="18">
                  <c:v>2.0270196521520845</c:v>
                </c:pt>
                <c:pt idx="19">
                  <c:v>2.0358333310437193</c:v>
                </c:pt>
                <c:pt idx="20">
                  <c:v>2.0488540795072638</c:v>
                </c:pt>
                <c:pt idx="21">
                  <c:v>2.060807589880469</c:v>
                </c:pt>
                <c:pt idx="22">
                  <c:v>2.0747751709764719</c:v>
                </c:pt>
                <c:pt idx="23">
                  <c:v>2.0823840293200289</c:v>
                </c:pt>
                <c:pt idx="24">
                  <c:v>2.0947184658304883</c:v>
                </c:pt>
                <c:pt idx="25">
                  <c:v>2.1017933821101242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202.59474038810905</c:v>
                </c:pt>
                <c:pt idx="1">
                  <c:v>211.16569121977338</c:v>
                </c:pt>
                <c:pt idx="2">
                  <c:v>222.83565274281676</c:v>
                </c:pt>
                <c:pt idx="3">
                  <c:v>219.4707568821384</c:v>
                </c:pt>
                <c:pt idx="4">
                  <c:v>217.64673234443978</c:v>
                </c:pt>
                <c:pt idx="5">
                  <c:v>215.33943518586108</c:v>
                </c:pt>
                <c:pt idx="6">
                  <c:v>236.6976614280986</c:v>
                </c:pt>
                <c:pt idx="7">
                  <c:v>222.93517266633071</c:v>
                </c:pt>
                <c:pt idx="8">
                  <c:v>211.19975771494057</c:v>
                </c:pt>
                <c:pt idx="9">
                  <c:v>205.67561264127193</c:v>
                </c:pt>
                <c:pt idx="10">
                  <c:v>205.71646638462903</c:v>
                </c:pt>
                <c:pt idx="11">
                  <c:v>193.42523296809335</c:v>
                </c:pt>
                <c:pt idx="12">
                  <c:v>193.48583719930059</c:v>
                </c:pt>
                <c:pt idx="13">
                  <c:v>193.67181248770663</c:v>
                </c:pt>
                <c:pt idx="14">
                  <c:v>193.84712683701238</c:v>
                </c:pt>
                <c:pt idx="15">
                  <c:v>193.54246535149821</c:v>
                </c:pt>
                <c:pt idx="16">
                  <c:v>193.00562046102584</c:v>
                </c:pt>
                <c:pt idx="17">
                  <c:v>192.2240291961844</c:v>
                </c:pt>
                <c:pt idx="18">
                  <c:v>191.33426591297942</c:v>
                </c:pt>
                <c:pt idx="19">
                  <c:v>190.40324518602148</c:v>
                </c:pt>
                <c:pt idx="20">
                  <c:v>189.42756759807494</c:v>
                </c:pt>
                <c:pt idx="21">
                  <c:v>188.34382390640195</c:v>
                </c:pt>
                <c:pt idx="22">
                  <c:v>187.26697801766673</c:v>
                </c:pt>
                <c:pt idx="23">
                  <c:v>186.07078335017096</c:v>
                </c:pt>
                <c:pt idx="24">
                  <c:v>184.90052360261524</c:v>
                </c:pt>
                <c:pt idx="25">
                  <c:v>183.50111866544393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40.601382401605328</c:v>
                </c:pt>
                <c:pt idx="1">
                  <c:v>38.821627956569174</c:v>
                </c:pt>
                <c:pt idx="2">
                  <c:v>38.883524874748311</c:v>
                </c:pt>
                <c:pt idx="3">
                  <c:v>39.339564794810251</c:v>
                </c:pt>
                <c:pt idx="4">
                  <c:v>38.610252472464737</c:v>
                </c:pt>
                <c:pt idx="5">
                  <c:v>41.500878516960952</c:v>
                </c:pt>
                <c:pt idx="6">
                  <c:v>40.718461101922955</c:v>
                </c:pt>
                <c:pt idx="7">
                  <c:v>45.156781074583911</c:v>
                </c:pt>
                <c:pt idx="8">
                  <c:v>46.357129930957271</c:v>
                </c:pt>
                <c:pt idx="9">
                  <c:v>45.630304505872942</c:v>
                </c:pt>
                <c:pt idx="10">
                  <c:v>47.713083005611892</c:v>
                </c:pt>
                <c:pt idx="11">
                  <c:v>57.420742122435946</c:v>
                </c:pt>
                <c:pt idx="12">
                  <c:v>58.454200929588453</c:v>
                </c:pt>
                <c:pt idx="13">
                  <c:v>59.687032917375788</c:v>
                </c:pt>
                <c:pt idx="14">
                  <c:v>60.835353216617108</c:v>
                </c:pt>
                <c:pt idx="15">
                  <c:v>61.798062374764939</c:v>
                </c:pt>
                <c:pt idx="16">
                  <c:v>62.694721846664017</c:v>
                </c:pt>
                <c:pt idx="17">
                  <c:v>63.587140889602971</c:v>
                </c:pt>
                <c:pt idx="18">
                  <c:v>64.470134871102317</c:v>
                </c:pt>
                <c:pt idx="19">
                  <c:v>65.374708597256117</c:v>
                </c:pt>
                <c:pt idx="20">
                  <c:v>66.324868476512435</c:v>
                </c:pt>
                <c:pt idx="21">
                  <c:v>67.270912489148316</c:v>
                </c:pt>
                <c:pt idx="22">
                  <c:v>68.196761345803253</c:v>
                </c:pt>
                <c:pt idx="23">
                  <c:v>69.127019271635888</c:v>
                </c:pt>
                <c:pt idx="24">
                  <c:v>70.04388666412342</c:v>
                </c:pt>
                <c:pt idx="25">
                  <c:v>70.946426583313226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72.171255744948596</c:v>
                </c:pt>
                <c:pt idx="1">
                  <c:v>67.97416987310153</c:v>
                </c:pt>
                <c:pt idx="2">
                  <c:v>71.134425216780514</c:v>
                </c:pt>
                <c:pt idx="3">
                  <c:v>72.965009492521062</c:v>
                </c:pt>
                <c:pt idx="4">
                  <c:v>74.906939126155407</c:v>
                </c:pt>
                <c:pt idx="5">
                  <c:v>73.880158585249745</c:v>
                </c:pt>
                <c:pt idx="6">
                  <c:v>73.208807320276279</c:v>
                </c:pt>
                <c:pt idx="7">
                  <c:v>75.441404041526539</c:v>
                </c:pt>
                <c:pt idx="8">
                  <c:v>75.813885915997275</c:v>
                </c:pt>
                <c:pt idx="9">
                  <c:v>71.020391017063901</c:v>
                </c:pt>
                <c:pt idx="10">
                  <c:v>62.582118755619781</c:v>
                </c:pt>
                <c:pt idx="11">
                  <c:v>75.178057672885231</c:v>
                </c:pt>
                <c:pt idx="12">
                  <c:v>75.114695271866196</c:v>
                </c:pt>
                <c:pt idx="13">
                  <c:v>75.467273610365993</c:v>
                </c:pt>
                <c:pt idx="14">
                  <c:v>75.737386613116186</c:v>
                </c:pt>
                <c:pt idx="15">
                  <c:v>75.783037685328537</c:v>
                </c:pt>
                <c:pt idx="16">
                  <c:v>75.738199855138404</c:v>
                </c:pt>
                <c:pt idx="17">
                  <c:v>75.682603148330827</c:v>
                </c:pt>
                <c:pt idx="18">
                  <c:v>75.496046563294186</c:v>
                </c:pt>
                <c:pt idx="19">
                  <c:v>75.302137181754006</c:v>
                </c:pt>
                <c:pt idx="20">
                  <c:v>75.188190786199726</c:v>
                </c:pt>
                <c:pt idx="21">
                  <c:v>75.061046996974639</c:v>
                </c:pt>
                <c:pt idx="22">
                  <c:v>74.930475338567632</c:v>
                </c:pt>
                <c:pt idx="23">
                  <c:v>74.966278042474229</c:v>
                </c:pt>
                <c:pt idx="24">
                  <c:v>75.054424296861583</c:v>
                </c:pt>
                <c:pt idx="25">
                  <c:v>75.3654050728952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87.55257159084239</c:v>
                </c:pt>
                <c:pt idx="1">
                  <c:v>87.83843309204272</c:v>
                </c:pt>
                <c:pt idx="2">
                  <c:v>82.000958673068666</c:v>
                </c:pt>
                <c:pt idx="3">
                  <c:v>82.643074103497526</c:v>
                </c:pt>
                <c:pt idx="4">
                  <c:v>88.933069462807666</c:v>
                </c:pt>
                <c:pt idx="5">
                  <c:v>85.619333849694627</c:v>
                </c:pt>
                <c:pt idx="6">
                  <c:v>91.390290489638531</c:v>
                </c:pt>
                <c:pt idx="7">
                  <c:v>88.377501330582987</c:v>
                </c:pt>
                <c:pt idx="8">
                  <c:v>96.455451856658584</c:v>
                </c:pt>
                <c:pt idx="9">
                  <c:v>91.331008905970776</c:v>
                </c:pt>
                <c:pt idx="10">
                  <c:v>82.153643253397007</c:v>
                </c:pt>
                <c:pt idx="11">
                  <c:v>86.822410231890672</c:v>
                </c:pt>
                <c:pt idx="12">
                  <c:v>86.600698623324988</c:v>
                </c:pt>
                <c:pt idx="13">
                  <c:v>87.094488559883146</c:v>
                </c:pt>
                <c:pt idx="14">
                  <c:v>87.626679815837292</c:v>
                </c:pt>
                <c:pt idx="15">
                  <c:v>87.85768973976711</c:v>
                </c:pt>
                <c:pt idx="16">
                  <c:v>88.093987549522637</c:v>
                </c:pt>
                <c:pt idx="17">
                  <c:v>88.264385840172608</c:v>
                </c:pt>
                <c:pt idx="18">
                  <c:v>88.475418704541056</c:v>
                </c:pt>
                <c:pt idx="19">
                  <c:v>88.697047379618454</c:v>
                </c:pt>
                <c:pt idx="20">
                  <c:v>88.975108758637191</c:v>
                </c:pt>
                <c:pt idx="21">
                  <c:v>89.23879567782059</c:v>
                </c:pt>
                <c:pt idx="22">
                  <c:v>89.472114414996454</c:v>
                </c:pt>
                <c:pt idx="23">
                  <c:v>89.7104322079051</c:v>
                </c:pt>
                <c:pt idx="24">
                  <c:v>89.926642434286379</c:v>
                </c:pt>
                <c:pt idx="25">
                  <c:v>90.140369989187306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49.114210056248908</c:v>
                </c:pt>
                <c:pt idx="1">
                  <c:v>47.125199005246756</c:v>
                </c:pt>
                <c:pt idx="2">
                  <c:v>47.884647031334957</c:v>
                </c:pt>
                <c:pt idx="3">
                  <c:v>45.401393134719932</c:v>
                </c:pt>
                <c:pt idx="4">
                  <c:v>51.914253678064696</c:v>
                </c:pt>
                <c:pt idx="5">
                  <c:v>51.619419586461767</c:v>
                </c:pt>
                <c:pt idx="6">
                  <c:v>51.368978549509315</c:v>
                </c:pt>
                <c:pt idx="7">
                  <c:v>50.65162599199828</c:v>
                </c:pt>
                <c:pt idx="8">
                  <c:v>49.580268456645861</c:v>
                </c:pt>
                <c:pt idx="9">
                  <c:v>45.787577245667286</c:v>
                </c:pt>
                <c:pt idx="10">
                  <c:v>41.169715797010497</c:v>
                </c:pt>
                <c:pt idx="11">
                  <c:v>35.886512077962657</c:v>
                </c:pt>
                <c:pt idx="12">
                  <c:v>35.997267511713233</c:v>
                </c:pt>
                <c:pt idx="13">
                  <c:v>36.235136028340357</c:v>
                </c:pt>
                <c:pt idx="14">
                  <c:v>36.415558951661552</c:v>
                </c:pt>
                <c:pt idx="15">
                  <c:v>36.484962734682078</c:v>
                </c:pt>
                <c:pt idx="16">
                  <c:v>36.541177519593354</c:v>
                </c:pt>
                <c:pt idx="17">
                  <c:v>36.568143711718832</c:v>
                </c:pt>
                <c:pt idx="18">
                  <c:v>36.559069503862226</c:v>
                </c:pt>
                <c:pt idx="19">
                  <c:v>36.554182230476847</c:v>
                </c:pt>
                <c:pt idx="20">
                  <c:v>36.640563639054328</c:v>
                </c:pt>
                <c:pt idx="21">
                  <c:v>36.615569952439451</c:v>
                </c:pt>
                <c:pt idx="22">
                  <c:v>36.538943744224255</c:v>
                </c:pt>
                <c:pt idx="23">
                  <c:v>36.452467598673373</c:v>
                </c:pt>
                <c:pt idx="24">
                  <c:v>36.347245106790865</c:v>
                </c:pt>
                <c:pt idx="25">
                  <c:v>36.262160530619973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284.33378658151429</c:v>
                </c:pt>
                <c:pt idx="1">
                  <c:v>261.32450966999039</c:v>
                </c:pt>
                <c:pt idx="2">
                  <c:v>266.49920130273728</c:v>
                </c:pt>
                <c:pt idx="3">
                  <c:v>261.61380749052984</c:v>
                </c:pt>
                <c:pt idx="4">
                  <c:v>273.75921461752853</c:v>
                </c:pt>
                <c:pt idx="5">
                  <c:v>267.90820636892653</c:v>
                </c:pt>
                <c:pt idx="6">
                  <c:v>267.21625210653184</c:v>
                </c:pt>
                <c:pt idx="7">
                  <c:v>273.52386730675335</c:v>
                </c:pt>
                <c:pt idx="8">
                  <c:v>275.85322420383989</c:v>
                </c:pt>
                <c:pt idx="9">
                  <c:v>272.03490961541218</c:v>
                </c:pt>
                <c:pt idx="10">
                  <c:v>255.12733961802351</c:v>
                </c:pt>
                <c:pt idx="11">
                  <c:v>265.53732082661998</c:v>
                </c:pt>
                <c:pt idx="12">
                  <c:v>266.63163596955752</c:v>
                </c:pt>
                <c:pt idx="13">
                  <c:v>269.27977582928071</c:v>
                </c:pt>
                <c:pt idx="14">
                  <c:v>270.50280413318455</c:v>
                </c:pt>
                <c:pt idx="15">
                  <c:v>270.40729192943337</c:v>
                </c:pt>
                <c:pt idx="16">
                  <c:v>270.26615269317665</c:v>
                </c:pt>
                <c:pt idx="17">
                  <c:v>269.77537412693113</c:v>
                </c:pt>
                <c:pt idx="18">
                  <c:v>268.99023431538581</c:v>
                </c:pt>
                <c:pt idx="19">
                  <c:v>268.12195013175727</c:v>
                </c:pt>
                <c:pt idx="20">
                  <c:v>267.65163063944328</c:v>
                </c:pt>
                <c:pt idx="21">
                  <c:v>266.9588269271772</c:v>
                </c:pt>
                <c:pt idx="22">
                  <c:v>266.14584164901873</c:v>
                </c:pt>
                <c:pt idx="23">
                  <c:v>265.31160129967714</c:v>
                </c:pt>
                <c:pt idx="24">
                  <c:v>264.47685142690307</c:v>
                </c:pt>
                <c:pt idx="25">
                  <c:v>263.59541453038582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229.17553177282025</c:v>
                </c:pt>
                <c:pt idx="1">
                  <c:v>255.43922823036496</c:v>
                </c:pt>
                <c:pt idx="2">
                  <c:v>254.50391479365874</c:v>
                </c:pt>
                <c:pt idx="3">
                  <c:v>266.84858892343817</c:v>
                </c:pt>
                <c:pt idx="4">
                  <c:v>283.47024125652075</c:v>
                </c:pt>
                <c:pt idx="5">
                  <c:v>281.71796036085652</c:v>
                </c:pt>
                <c:pt idx="6">
                  <c:v>287.4677672315064</c:v>
                </c:pt>
                <c:pt idx="7">
                  <c:v>310.69408298950873</c:v>
                </c:pt>
                <c:pt idx="8">
                  <c:v>315.82836822306058</c:v>
                </c:pt>
                <c:pt idx="9">
                  <c:v>328.11102486796204</c:v>
                </c:pt>
                <c:pt idx="10">
                  <c:v>336.67165807287438</c:v>
                </c:pt>
                <c:pt idx="11">
                  <c:v>328.2046669115083</c:v>
                </c:pt>
                <c:pt idx="12">
                  <c:v>333.75294684751884</c:v>
                </c:pt>
                <c:pt idx="13">
                  <c:v>340.19396166608499</c:v>
                </c:pt>
                <c:pt idx="14">
                  <c:v>346.16798067552674</c:v>
                </c:pt>
                <c:pt idx="15">
                  <c:v>351.00137125683085</c:v>
                </c:pt>
                <c:pt idx="16">
                  <c:v>355.5532239009334</c:v>
                </c:pt>
                <c:pt idx="17">
                  <c:v>359.90114108794774</c:v>
                </c:pt>
                <c:pt idx="18">
                  <c:v>364.35782900742129</c:v>
                </c:pt>
                <c:pt idx="19">
                  <c:v>368.82915604228202</c:v>
                </c:pt>
                <c:pt idx="20">
                  <c:v>373.50435157480797</c:v>
                </c:pt>
                <c:pt idx="21">
                  <c:v>378.23512886135939</c:v>
                </c:pt>
                <c:pt idx="22">
                  <c:v>382.88698277848414</c:v>
                </c:pt>
                <c:pt idx="23">
                  <c:v>387.63442773270174</c:v>
                </c:pt>
                <c:pt idx="24">
                  <c:v>391.94663391850167</c:v>
                </c:pt>
                <c:pt idx="25">
                  <c:v>394.1491291119242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515.26528122843354</c:v>
                </c:pt>
                <c:pt idx="1">
                  <c:v>518.02879684956304</c:v>
                </c:pt>
                <c:pt idx="2">
                  <c:v>516.828553605141</c:v>
                </c:pt>
                <c:pt idx="3">
                  <c:v>533.84259772755979</c:v>
                </c:pt>
                <c:pt idx="4">
                  <c:v>544.34580750107591</c:v>
                </c:pt>
                <c:pt idx="5">
                  <c:v>555.82323062112903</c:v>
                </c:pt>
                <c:pt idx="6">
                  <c:v>578.70004562487952</c:v>
                </c:pt>
                <c:pt idx="7">
                  <c:v>578.99903744802259</c:v>
                </c:pt>
                <c:pt idx="8">
                  <c:v>602.55632705904316</c:v>
                </c:pt>
                <c:pt idx="9">
                  <c:v>632.66922070562805</c:v>
                </c:pt>
                <c:pt idx="10">
                  <c:v>653.26421753907175</c:v>
                </c:pt>
                <c:pt idx="11">
                  <c:v>673.54170539310098</c:v>
                </c:pt>
                <c:pt idx="12">
                  <c:v>683.8608277231516</c:v>
                </c:pt>
                <c:pt idx="13">
                  <c:v>695.04700383471379</c:v>
                </c:pt>
                <c:pt idx="14">
                  <c:v>706.22117715325521</c:v>
                </c:pt>
                <c:pt idx="15">
                  <c:v>715.63579413435548</c:v>
                </c:pt>
                <c:pt idx="16">
                  <c:v>724.78901801840107</c:v>
                </c:pt>
                <c:pt idx="17">
                  <c:v>733.7345571829652</c:v>
                </c:pt>
                <c:pt idx="18">
                  <c:v>742.92874102405744</c:v>
                </c:pt>
                <c:pt idx="19">
                  <c:v>752.23427880492227</c:v>
                </c:pt>
                <c:pt idx="20">
                  <c:v>761.77147510794475</c:v>
                </c:pt>
                <c:pt idx="21">
                  <c:v>771.17914859230154</c:v>
                </c:pt>
                <c:pt idx="22">
                  <c:v>780.8388564942735</c:v>
                </c:pt>
                <c:pt idx="23">
                  <c:v>790.84007348329521</c:v>
                </c:pt>
                <c:pt idx="24">
                  <c:v>800.67859246669127</c:v>
                </c:pt>
                <c:pt idx="25">
                  <c:v>810.33534990681005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302.06036756524418</c:v>
                </c:pt>
                <c:pt idx="1">
                  <c:v>310.18428693512726</c:v>
                </c:pt>
                <c:pt idx="2">
                  <c:v>312.35185681768968</c:v>
                </c:pt>
                <c:pt idx="3">
                  <c:v>314.90429973433828</c:v>
                </c:pt>
                <c:pt idx="4">
                  <c:v>328.3481547057421</c:v>
                </c:pt>
                <c:pt idx="5">
                  <c:v>332.20088542727456</c:v>
                </c:pt>
                <c:pt idx="6">
                  <c:v>337.60895331778494</c:v>
                </c:pt>
                <c:pt idx="7">
                  <c:v>345.70066443921178</c:v>
                </c:pt>
                <c:pt idx="8">
                  <c:v>359.20366953790318</c:v>
                </c:pt>
                <c:pt idx="9">
                  <c:v>361.74689249960034</c:v>
                </c:pt>
                <c:pt idx="10">
                  <c:v>375.74934036250482</c:v>
                </c:pt>
                <c:pt idx="11">
                  <c:v>356.45138978387058</c:v>
                </c:pt>
                <c:pt idx="12">
                  <c:v>361.94657611012906</c:v>
                </c:pt>
                <c:pt idx="13">
                  <c:v>367.40530429720695</c:v>
                </c:pt>
                <c:pt idx="14">
                  <c:v>372.25127262928498</c:v>
                </c:pt>
                <c:pt idx="15">
                  <c:v>375.92965010188578</c:v>
                </c:pt>
                <c:pt idx="16">
                  <c:v>379.37473476555033</c:v>
                </c:pt>
                <c:pt idx="17">
                  <c:v>382.66670723939581</c:v>
                </c:pt>
                <c:pt idx="18">
                  <c:v>385.99821171197686</c:v>
                </c:pt>
                <c:pt idx="19">
                  <c:v>389.37213084258906</c:v>
                </c:pt>
                <c:pt idx="20">
                  <c:v>392.98730969684584</c:v>
                </c:pt>
                <c:pt idx="21">
                  <c:v>396.65871566220687</c:v>
                </c:pt>
                <c:pt idx="22">
                  <c:v>400.59055613277434</c:v>
                </c:pt>
                <c:pt idx="23">
                  <c:v>404.38170836025313</c:v>
                </c:pt>
                <c:pt idx="24">
                  <c:v>408.16873541583448</c:v>
                </c:pt>
                <c:pt idx="25">
                  <c:v>411.60929315144847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302.31768444219205</c:v>
                </c:pt>
                <c:pt idx="1">
                  <c:v>282.50354693650132</c:v>
                </c:pt>
                <c:pt idx="2">
                  <c:v>285.06488771558907</c:v>
                </c:pt>
                <c:pt idx="3">
                  <c:v>290.08423933169877</c:v>
                </c:pt>
                <c:pt idx="4">
                  <c:v>298.84561584502148</c:v>
                </c:pt>
                <c:pt idx="5">
                  <c:v>290.22815410380076</c:v>
                </c:pt>
                <c:pt idx="6">
                  <c:v>279.44023403173441</c:v>
                </c:pt>
                <c:pt idx="7">
                  <c:v>291.55364902064787</c:v>
                </c:pt>
                <c:pt idx="8">
                  <c:v>288.18375661555035</c:v>
                </c:pt>
                <c:pt idx="9">
                  <c:v>283.27716834037346</c:v>
                </c:pt>
                <c:pt idx="10">
                  <c:v>294.34089992140406</c:v>
                </c:pt>
                <c:pt idx="11">
                  <c:v>284.98666845910003</c:v>
                </c:pt>
                <c:pt idx="12">
                  <c:v>283.91580742098199</c:v>
                </c:pt>
                <c:pt idx="13">
                  <c:v>283.0708723871482</c:v>
                </c:pt>
                <c:pt idx="14">
                  <c:v>281.76979510453941</c:v>
                </c:pt>
                <c:pt idx="15">
                  <c:v>279.53997272082472</c:v>
                </c:pt>
                <c:pt idx="16">
                  <c:v>277.29991983797618</c:v>
                </c:pt>
                <c:pt idx="17">
                  <c:v>275.44266423979633</c:v>
                </c:pt>
                <c:pt idx="18">
                  <c:v>273.34211866615783</c:v>
                </c:pt>
                <c:pt idx="19">
                  <c:v>271.05475940239592</c:v>
                </c:pt>
                <c:pt idx="20">
                  <c:v>268.47733707259579</c:v>
                </c:pt>
                <c:pt idx="21">
                  <c:v>266.17183299035088</c:v>
                </c:pt>
                <c:pt idx="22">
                  <c:v>264.02176603323562</c:v>
                </c:pt>
                <c:pt idx="23">
                  <c:v>261.67671488112478</c:v>
                </c:pt>
                <c:pt idx="24">
                  <c:v>259.89058497841921</c:v>
                </c:pt>
                <c:pt idx="25">
                  <c:v>261.62983253168687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312.02140188376978</c:v>
                </c:pt>
                <c:pt idx="1">
                  <c:v>317.27141542608376</c:v>
                </c:pt>
                <c:pt idx="2">
                  <c:v>305.5971507967642</c:v>
                </c:pt>
                <c:pt idx="3">
                  <c:v>310.05193244009268</c:v>
                </c:pt>
                <c:pt idx="4">
                  <c:v>328.55690392204531</c:v>
                </c:pt>
                <c:pt idx="5">
                  <c:v>331.94362953220332</c:v>
                </c:pt>
                <c:pt idx="6">
                  <c:v>327.76472943294425</c:v>
                </c:pt>
                <c:pt idx="7">
                  <c:v>329.11688603190805</c:v>
                </c:pt>
                <c:pt idx="8">
                  <c:v>324.27964913662771</c:v>
                </c:pt>
                <c:pt idx="9">
                  <c:v>330.38412255295623</c:v>
                </c:pt>
                <c:pt idx="10">
                  <c:v>298.01318493355501</c:v>
                </c:pt>
                <c:pt idx="11">
                  <c:v>302.05292983406702</c:v>
                </c:pt>
                <c:pt idx="12">
                  <c:v>302.78620953115143</c:v>
                </c:pt>
                <c:pt idx="13">
                  <c:v>305.3098701300957</c:v>
                </c:pt>
                <c:pt idx="14">
                  <c:v>307.02283359299219</c:v>
                </c:pt>
                <c:pt idx="15">
                  <c:v>307.18073602606728</c:v>
                </c:pt>
                <c:pt idx="16">
                  <c:v>307.38201384653729</c:v>
                </c:pt>
                <c:pt idx="17">
                  <c:v>307.43342329403379</c:v>
                </c:pt>
                <c:pt idx="18">
                  <c:v>307.4355654455652</c:v>
                </c:pt>
                <c:pt idx="19">
                  <c:v>307.41524988118039</c:v>
                </c:pt>
                <c:pt idx="20">
                  <c:v>307.51002397241223</c:v>
                </c:pt>
                <c:pt idx="21">
                  <c:v>307.54294350541062</c:v>
                </c:pt>
                <c:pt idx="22">
                  <c:v>307.5288242486705</c:v>
                </c:pt>
                <c:pt idx="23">
                  <c:v>307.44035499061766</c:v>
                </c:pt>
                <c:pt idx="24">
                  <c:v>307.29401162233995</c:v>
                </c:pt>
                <c:pt idx="25">
                  <c:v>306.49084511758724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277.51078634568927</c:v>
                </c:pt>
                <c:pt idx="1">
                  <c:v>262.17509480616957</c:v>
                </c:pt>
                <c:pt idx="2">
                  <c:v>268.2312264315031</c:v>
                </c:pt>
                <c:pt idx="3">
                  <c:v>280.44673594495788</c:v>
                </c:pt>
                <c:pt idx="4">
                  <c:v>294.04481506603787</c:v>
                </c:pt>
                <c:pt idx="5">
                  <c:v>290.07070785869405</c:v>
                </c:pt>
                <c:pt idx="6">
                  <c:v>289.90781936400111</c:v>
                </c:pt>
                <c:pt idx="7">
                  <c:v>287.99532765789468</c:v>
                </c:pt>
                <c:pt idx="8">
                  <c:v>289.900511348642</c:v>
                </c:pt>
                <c:pt idx="9">
                  <c:v>294.43876710187271</c:v>
                </c:pt>
                <c:pt idx="10">
                  <c:v>277.08533235276252</c:v>
                </c:pt>
                <c:pt idx="11">
                  <c:v>286.92436371668771</c:v>
                </c:pt>
                <c:pt idx="12">
                  <c:v>291.37829685645818</c:v>
                </c:pt>
                <c:pt idx="13">
                  <c:v>295.69946824570195</c:v>
                </c:pt>
                <c:pt idx="14">
                  <c:v>299.89303127065591</c:v>
                </c:pt>
                <c:pt idx="15">
                  <c:v>303.49396593889469</c:v>
                </c:pt>
                <c:pt idx="16">
                  <c:v>306.76822969998943</c:v>
                </c:pt>
                <c:pt idx="17">
                  <c:v>309.81583003821646</c:v>
                </c:pt>
                <c:pt idx="18">
                  <c:v>313.21336426762167</c:v>
                </c:pt>
                <c:pt idx="19">
                  <c:v>316.61715431466439</c:v>
                </c:pt>
                <c:pt idx="20">
                  <c:v>320.13457267214761</c:v>
                </c:pt>
                <c:pt idx="21">
                  <c:v>323.58525443313124</c:v>
                </c:pt>
                <c:pt idx="22">
                  <c:v>326.72389979678292</c:v>
                </c:pt>
                <c:pt idx="23">
                  <c:v>329.93013877629102</c:v>
                </c:pt>
                <c:pt idx="24">
                  <c:v>333.08286805934915</c:v>
                </c:pt>
                <c:pt idx="25">
                  <c:v>336.06765480598972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243.19612278971437</c:v>
                </c:pt>
                <c:pt idx="1">
                  <c:v>249.98731917634257</c:v>
                </c:pt>
                <c:pt idx="2">
                  <c:v>261.71917761756509</c:v>
                </c:pt>
                <c:pt idx="3">
                  <c:v>258.81032167694866</c:v>
                </c:pt>
                <c:pt idx="4">
                  <c:v>256.25698481690449</c:v>
                </c:pt>
                <c:pt idx="5">
                  <c:v>256.84031370282202</c:v>
                </c:pt>
                <c:pt idx="6">
                  <c:v>277.41612253002154</c:v>
                </c:pt>
                <c:pt idx="7">
                  <c:v>268.09195374091462</c:v>
                </c:pt>
                <c:pt idx="8">
                  <c:v>257.55688764589786</c:v>
                </c:pt>
                <c:pt idx="9">
                  <c:v>251.30591714714487</c:v>
                </c:pt>
                <c:pt idx="10">
                  <c:v>253.42954939024094</c:v>
                </c:pt>
                <c:pt idx="11">
                  <c:v>250.84597509052929</c:v>
                </c:pt>
                <c:pt idx="12">
                  <c:v>251.94003812888906</c:v>
                </c:pt>
                <c:pt idx="13">
                  <c:v>253.35884540508243</c:v>
                </c:pt>
                <c:pt idx="14">
                  <c:v>254.68248005362949</c:v>
                </c:pt>
                <c:pt idx="15">
                  <c:v>255.34052772626313</c:v>
                </c:pt>
                <c:pt idx="16">
                  <c:v>255.70034230768985</c:v>
                </c:pt>
                <c:pt idx="17">
                  <c:v>255.81117008578738</c:v>
                </c:pt>
                <c:pt idx="18">
                  <c:v>255.80440078408174</c:v>
                </c:pt>
                <c:pt idx="19">
                  <c:v>255.77795378327761</c:v>
                </c:pt>
                <c:pt idx="20">
                  <c:v>255.75243607458737</c:v>
                </c:pt>
                <c:pt idx="21">
                  <c:v>255.61473639555027</c:v>
                </c:pt>
                <c:pt idx="22">
                  <c:v>255.46373936346998</c:v>
                </c:pt>
                <c:pt idx="23">
                  <c:v>255.19780262180683</c:v>
                </c:pt>
                <c:pt idx="24">
                  <c:v>254.94441026673866</c:v>
                </c:pt>
                <c:pt idx="25">
                  <c:v>254.44754524875714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159.72382733579099</c:v>
                </c:pt>
                <c:pt idx="1">
                  <c:v>155.81260296514426</c:v>
                </c:pt>
                <c:pt idx="2">
                  <c:v>153.13538388984918</c:v>
                </c:pt>
                <c:pt idx="3">
                  <c:v>155.60808359601859</c:v>
                </c:pt>
                <c:pt idx="4">
                  <c:v>163.84000858896309</c:v>
                </c:pt>
                <c:pt idx="5">
                  <c:v>159.49949243494439</c:v>
                </c:pt>
                <c:pt idx="6">
                  <c:v>164.59909780991481</c:v>
                </c:pt>
                <c:pt idx="7">
                  <c:v>163.81890537210953</c:v>
                </c:pt>
                <c:pt idx="8">
                  <c:v>172.26933777265586</c:v>
                </c:pt>
                <c:pt idx="9">
                  <c:v>162.35139992303468</c:v>
                </c:pt>
                <c:pt idx="10">
                  <c:v>144.73576200901678</c:v>
                </c:pt>
                <c:pt idx="11">
                  <c:v>162.00046790477592</c:v>
                </c:pt>
                <c:pt idx="12">
                  <c:v>161.7153938951912</c:v>
                </c:pt>
                <c:pt idx="13">
                  <c:v>162.56176217024915</c:v>
                </c:pt>
                <c:pt idx="14">
                  <c:v>163.36406642895349</c:v>
                </c:pt>
                <c:pt idx="15">
                  <c:v>163.64072742509563</c:v>
                </c:pt>
                <c:pt idx="16">
                  <c:v>163.83218740466106</c:v>
                </c:pt>
                <c:pt idx="17">
                  <c:v>163.94698898850345</c:v>
                </c:pt>
                <c:pt idx="18">
                  <c:v>163.97146526783524</c:v>
                </c:pt>
                <c:pt idx="19">
                  <c:v>163.99918456137246</c:v>
                </c:pt>
                <c:pt idx="20">
                  <c:v>164.16329954483692</c:v>
                </c:pt>
                <c:pt idx="21">
                  <c:v>164.29984267479523</c:v>
                </c:pt>
                <c:pt idx="22">
                  <c:v>164.40258975356409</c:v>
                </c:pt>
                <c:pt idx="23">
                  <c:v>164.67671025037933</c:v>
                </c:pt>
                <c:pt idx="24">
                  <c:v>164.98106673114796</c:v>
                </c:pt>
                <c:pt idx="25">
                  <c:v>165.50577506208251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333.4479966377632</c:v>
                </c:pt>
                <c:pt idx="1">
                  <c:v>308.44970867523716</c:v>
                </c:pt>
                <c:pt idx="2">
                  <c:v>314.38384833407224</c:v>
                </c:pt>
                <c:pt idx="3">
                  <c:v>307.01520062524975</c:v>
                </c:pt>
                <c:pt idx="4">
                  <c:v>325.67346829559324</c:v>
                </c:pt>
                <c:pt idx="5">
                  <c:v>319.52762595538832</c:v>
                </c:pt>
                <c:pt idx="6">
                  <c:v>318.58523065604118</c:v>
                </c:pt>
                <c:pt idx="7">
                  <c:v>324.17549329875163</c:v>
                </c:pt>
                <c:pt idx="8">
                  <c:v>325.43349266048574</c:v>
                </c:pt>
                <c:pt idx="9">
                  <c:v>317.82248686107948</c:v>
                </c:pt>
                <c:pt idx="10">
                  <c:v>296.29705541503404</c:v>
                </c:pt>
                <c:pt idx="11">
                  <c:v>301.42383290458264</c:v>
                </c:pt>
                <c:pt idx="12">
                  <c:v>302.62890348127075</c:v>
                </c:pt>
                <c:pt idx="13">
                  <c:v>305.51491185762109</c:v>
                </c:pt>
                <c:pt idx="14">
                  <c:v>306.91836308484608</c:v>
                </c:pt>
                <c:pt idx="15">
                  <c:v>306.89225466411546</c:v>
                </c:pt>
                <c:pt idx="16">
                  <c:v>306.80733021277001</c:v>
                </c:pt>
                <c:pt idx="17">
                  <c:v>306.34351783864997</c:v>
                </c:pt>
                <c:pt idx="18">
                  <c:v>305.54930381924805</c:v>
                </c:pt>
                <c:pt idx="19">
                  <c:v>304.67613236223411</c:v>
                </c:pt>
                <c:pt idx="20">
                  <c:v>304.29219427849762</c:v>
                </c:pt>
                <c:pt idx="21">
                  <c:v>303.57439687961664</c:v>
                </c:pt>
                <c:pt idx="22">
                  <c:v>302.68478539324298</c:v>
                </c:pt>
                <c:pt idx="23">
                  <c:v>301.7640688983505</c:v>
                </c:pt>
                <c:pt idx="24">
                  <c:v>300.82409653369393</c:v>
                </c:pt>
                <c:pt idx="25">
                  <c:v>299.85757506100578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229.17553177282025</c:v>
                </c:pt>
                <c:pt idx="1">
                  <c:v>255.43922823036496</c:v>
                </c:pt>
                <c:pt idx="2">
                  <c:v>254.50391479365874</c:v>
                </c:pt>
                <c:pt idx="3">
                  <c:v>266.84858892343817</c:v>
                </c:pt>
                <c:pt idx="4">
                  <c:v>283.47024125652075</c:v>
                </c:pt>
                <c:pt idx="5">
                  <c:v>281.71796036085652</c:v>
                </c:pt>
                <c:pt idx="6">
                  <c:v>287.4677672315064</c:v>
                </c:pt>
                <c:pt idx="7">
                  <c:v>310.69408298950873</c:v>
                </c:pt>
                <c:pt idx="8">
                  <c:v>315.82836822306058</c:v>
                </c:pt>
                <c:pt idx="9">
                  <c:v>328.11102486796204</c:v>
                </c:pt>
                <c:pt idx="10">
                  <c:v>336.67165807287438</c:v>
                </c:pt>
                <c:pt idx="11">
                  <c:v>328.2046669115083</c:v>
                </c:pt>
                <c:pt idx="12">
                  <c:v>333.75294684751884</c:v>
                </c:pt>
                <c:pt idx="13">
                  <c:v>340.19396166608499</c:v>
                </c:pt>
                <c:pt idx="14">
                  <c:v>346.16798067552674</c:v>
                </c:pt>
                <c:pt idx="15">
                  <c:v>351.00137125683085</c:v>
                </c:pt>
                <c:pt idx="16">
                  <c:v>355.5532239009334</c:v>
                </c:pt>
                <c:pt idx="17">
                  <c:v>359.90114108794774</c:v>
                </c:pt>
                <c:pt idx="18">
                  <c:v>364.35782900742129</c:v>
                </c:pt>
                <c:pt idx="19">
                  <c:v>368.82915604228202</c:v>
                </c:pt>
                <c:pt idx="20">
                  <c:v>373.50435157480797</c:v>
                </c:pt>
                <c:pt idx="21">
                  <c:v>378.23512886135939</c:v>
                </c:pt>
                <c:pt idx="22">
                  <c:v>382.88698277848414</c:v>
                </c:pt>
                <c:pt idx="23">
                  <c:v>387.63442773270174</c:v>
                </c:pt>
                <c:pt idx="24">
                  <c:v>391.94663391850167</c:v>
                </c:pt>
                <c:pt idx="25">
                  <c:v>394.1491291119242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515.26528122843354</c:v>
                </c:pt>
                <c:pt idx="1">
                  <c:v>518.02879684956304</c:v>
                </c:pt>
                <c:pt idx="2">
                  <c:v>516.828553605141</c:v>
                </c:pt>
                <c:pt idx="3">
                  <c:v>533.84259772755979</c:v>
                </c:pt>
                <c:pt idx="4">
                  <c:v>544.34580750107591</c:v>
                </c:pt>
                <c:pt idx="5">
                  <c:v>555.82323062112903</c:v>
                </c:pt>
                <c:pt idx="6">
                  <c:v>578.70004562487952</c:v>
                </c:pt>
                <c:pt idx="7">
                  <c:v>578.99903744802259</c:v>
                </c:pt>
                <c:pt idx="8">
                  <c:v>602.55632705904316</c:v>
                </c:pt>
                <c:pt idx="9">
                  <c:v>632.66922070562805</c:v>
                </c:pt>
                <c:pt idx="10">
                  <c:v>653.26421753907175</c:v>
                </c:pt>
                <c:pt idx="11">
                  <c:v>673.54170539310098</c:v>
                </c:pt>
                <c:pt idx="12">
                  <c:v>683.8608277231516</c:v>
                </c:pt>
                <c:pt idx="13">
                  <c:v>695.04700383471379</c:v>
                </c:pt>
                <c:pt idx="14">
                  <c:v>706.22117715325521</c:v>
                </c:pt>
                <c:pt idx="15">
                  <c:v>715.63579413435548</c:v>
                </c:pt>
                <c:pt idx="16">
                  <c:v>724.78901801840107</c:v>
                </c:pt>
                <c:pt idx="17">
                  <c:v>733.7345571829652</c:v>
                </c:pt>
                <c:pt idx="18">
                  <c:v>742.92874102405744</c:v>
                </c:pt>
                <c:pt idx="19">
                  <c:v>752.23427880492227</c:v>
                </c:pt>
                <c:pt idx="20">
                  <c:v>761.77147510794475</c:v>
                </c:pt>
                <c:pt idx="21">
                  <c:v>771.17914859230154</c:v>
                </c:pt>
                <c:pt idx="22">
                  <c:v>780.8388564942735</c:v>
                </c:pt>
                <c:pt idx="23">
                  <c:v>790.84007348329521</c:v>
                </c:pt>
                <c:pt idx="24">
                  <c:v>800.67859246669127</c:v>
                </c:pt>
                <c:pt idx="25">
                  <c:v>810.33534990681005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302.06036756524418</c:v>
                </c:pt>
                <c:pt idx="1">
                  <c:v>310.18428693512726</c:v>
                </c:pt>
                <c:pt idx="2">
                  <c:v>312.35185681768968</c:v>
                </c:pt>
                <c:pt idx="3">
                  <c:v>314.90429973433828</c:v>
                </c:pt>
                <c:pt idx="4">
                  <c:v>328.3481547057421</c:v>
                </c:pt>
                <c:pt idx="5">
                  <c:v>332.20088542727456</c:v>
                </c:pt>
                <c:pt idx="6">
                  <c:v>337.60895331778494</c:v>
                </c:pt>
                <c:pt idx="7">
                  <c:v>345.70066443921178</c:v>
                </c:pt>
                <c:pt idx="8">
                  <c:v>359.20366953790318</c:v>
                </c:pt>
                <c:pt idx="9">
                  <c:v>361.74689249960034</c:v>
                </c:pt>
                <c:pt idx="10">
                  <c:v>375.74934036250482</c:v>
                </c:pt>
                <c:pt idx="11">
                  <c:v>356.45138978387058</c:v>
                </c:pt>
                <c:pt idx="12">
                  <c:v>361.94657611012906</c:v>
                </c:pt>
                <c:pt idx="13">
                  <c:v>367.40530429720695</c:v>
                </c:pt>
                <c:pt idx="14">
                  <c:v>372.25127262928498</c:v>
                </c:pt>
                <c:pt idx="15">
                  <c:v>375.92965010188578</c:v>
                </c:pt>
                <c:pt idx="16">
                  <c:v>379.37473476555033</c:v>
                </c:pt>
                <c:pt idx="17">
                  <c:v>382.66670723939581</c:v>
                </c:pt>
                <c:pt idx="18">
                  <c:v>385.99821171197686</c:v>
                </c:pt>
                <c:pt idx="19">
                  <c:v>389.37213084258906</c:v>
                </c:pt>
                <c:pt idx="20">
                  <c:v>392.98730969684584</c:v>
                </c:pt>
                <c:pt idx="21">
                  <c:v>396.65871566220687</c:v>
                </c:pt>
                <c:pt idx="22">
                  <c:v>400.59055613277434</c:v>
                </c:pt>
                <c:pt idx="23">
                  <c:v>404.38170836025313</c:v>
                </c:pt>
                <c:pt idx="24">
                  <c:v>408.16873541583448</c:v>
                </c:pt>
                <c:pt idx="25">
                  <c:v>411.60929315144847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302.31768444219205</c:v>
                </c:pt>
                <c:pt idx="1">
                  <c:v>282.50354693650132</c:v>
                </c:pt>
                <c:pt idx="2">
                  <c:v>285.06488771558907</c:v>
                </c:pt>
                <c:pt idx="3">
                  <c:v>290.08423933169877</c:v>
                </c:pt>
                <c:pt idx="4">
                  <c:v>298.84561584502148</c:v>
                </c:pt>
                <c:pt idx="5">
                  <c:v>290.22815410380076</c:v>
                </c:pt>
                <c:pt idx="6">
                  <c:v>279.44023403173441</c:v>
                </c:pt>
                <c:pt idx="7">
                  <c:v>291.55364902064787</c:v>
                </c:pt>
                <c:pt idx="8">
                  <c:v>288.18375661555035</c:v>
                </c:pt>
                <c:pt idx="9">
                  <c:v>283.27716834037346</c:v>
                </c:pt>
                <c:pt idx="10">
                  <c:v>294.34089992140406</c:v>
                </c:pt>
                <c:pt idx="11">
                  <c:v>284.98666845910003</c:v>
                </c:pt>
                <c:pt idx="12">
                  <c:v>283.91580742098199</c:v>
                </c:pt>
                <c:pt idx="13">
                  <c:v>283.0708723871482</c:v>
                </c:pt>
                <c:pt idx="14">
                  <c:v>281.76979510453941</c:v>
                </c:pt>
                <c:pt idx="15">
                  <c:v>279.53997272082472</c:v>
                </c:pt>
                <c:pt idx="16">
                  <c:v>277.29991983797618</c:v>
                </c:pt>
                <c:pt idx="17">
                  <c:v>275.44266423979633</c:v>
                </c:pt>
                <c:pt idx="18">
                  <c:v>273.34211866615783</c:v>
                </c:pt>
                <c:pt idx="19">
                  <c:v>271.05475940239592</c:v>
                </c:pt>
                <c:pt idx="20">
                  <c:v>268.47733707259579</c:v>
                </c:pt>
                <c:pt idx="21">
                  <c:v>266.17183299035088</c:v>
                </c:pt>
                <c:pt idx="22">
                  <c:v>264.02176603323562</c:v>
                </c:pt>
                <c:pt idx="23">
                  <c:v>261.67671488112478</c:v>
                </c:pt>
                <c:pt idx="24">
                  <c:v>259.89058497841921</c:v>
                </c:pt>
                <c:pt idx="25">
                  <c:v>261.62983253168687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312.02140188376978</c:v>
                </c:pt>
                <c:pt idx="1">
                  <c:v>317.27141542608376</c:v>
                </c:pt>
                <c:pt idx="2">
                  <c:v>305.5971507967642</c:v>
                </c:pt>
                <c:pt idx="3">
                  <c:v>310.05193244009268</c:v>
                </c:pt>
                <c:pt idx="4">
                  <c:v>328.55690392204531</c:v>
                </c:pt>
                <c:pt idx="5">
                  <c:v>331.94362953220332</c:v>
                </c:pt>
                <c:pt idx="6">
                  <c:v>327.76472943294425</c:v>
                </c:pt>
                <c:pt idx="7">
                  <c:v>329.11688603190805</c:v>
                </c:pt>
                <c:pt idx="8">
                  <c:v>324.27964913662771</c:v>
                </c:pt>
                <c:pt idx="9">
                  <c:v>330.38412255295623</c:v>
                </c:pt>
                <c:pt idx="10">
                  <c:v>298.01318493355501</c:v>
                </c:pt>
                <c:pt idx="11">
                  <c:v>302.05292983406702</c:v>
                </c:pt>
                <c:pt idx="12">
                  <c:v>302.78620953115143</c:v>
                </c:pt>
                <c:pt idx="13">
                  <c:v>305.3098701300957</c:v>
                </c:pt>
                <c:pt idx="14">
                  <c:v>307.02283359299219</c:v>
                </c:pt>
                <c:pt idx="15">
                  <c:v>307.18073602606728</c:v>
                </c:pt>
                <c:pt idx="16">
                  <c:v>307.38201384653729</c:v>
                </c:pt>
                <c:pt idx="17">
                  <c:v>307.43342329403379</c:v>
                </c:pt>
                <c:pt idx="18">
                  <c:v>307.4355654455652</c:v>
                </c:pt>
                <c:pt idx="19">
                  <c:v>307.41524988118039</c:v>
                </c:pt>
                <c:pt idx="20">
                  <c:v>307.51002397241223</c:v>
                </c:pt>
                <c:pt idx="21">
                  <c:v>307.54294350541062</c:v>
                </c:pt>
                <c:pt idx="22">
                  <c:v>307.5288242486705</c:v>
                </c:pt>
                <c:pt idx="23">
                  <c:v>307.44035499061766</c:v>
                </c:pt>
                <c:pt idx="24">
                  <c:v>307.29401162233995</c:v>
                </c:pt>
                <c:pt idx="25">
                  <c:v>306.49084511758724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277.51078634568927</c:v>
                </c:pt>
                <c:pt idx="1">
                  <c:v>262.17509480616957</c:v>
                </c:pt>
                <c:pt idx="2">
                  <c:v>268.2312264315031</c:v>
                </c:pt>
                <c:pt idx="3">
                  <c:v>280.44673594495788</c:v>
                </c:pt>
                <c:pt idx="4">
                  <c:v>294.04481506603787</c:v>
                </c:pt>
                <c:pt idx="5">
                  <c:v>290.07070785869405</c:v>
                </c:pt>
                <c:pt idx="6">
                  <c:v>289.90781936400111</c:v>
                </c:pt>
                <c:pt idx="7">
                  <c:v>287.99532765789468</c:v>
                </c:pt>
                <c:pt idx="8">
                  <c:v>289.900511348642</c:v>
                </c:pt>
                <c:pt idx="9">
                  <c:v>294.43876710187271</c:v>
                </c:pt>
                <c:pt idx="10">
                  <c:v>277.08533235276252</c:v>
                </c:pt>
                <c:pt idx="11">
                  <c:v>286.92436371668771</c:v>
                </c:pt>
                <c:pt idx="12">
                  <c:v>291.37829685645818</c:v>
                </c:pt>
                <c:pt idx="13">
                  <c:v>295.69946824570195</c:v>
                </c:pt>
                <c:pt idx="14">
                  <c:v>299.89303127065591</c:v>
                </c:pt>
                <c:pt idx="15">
                  <c:v>303.49396593889469</c:v>
                </c:pt>
                <c:pt idx="16">
                  <c:v>306.76822969998943</c:v>
                </c:pt>
                <c:pt idx="17">
                  <c:v>309.81583003821646</c:v>
                </c:pt>
                <c:pt idx="18">
                  <c:v>313.21336426762167</c:v>
                </c:pt>
                <c:pt idx="19">
                  <c:v>316.61715431466439</c:v>
                </c:pt>
                <c:pt idx="20">
                  <c:v>320.13457267214761</c:v>
                </c:pt>
                <c:pt idx="21">
                  <c:v>323.58525443313124</c:v>
                </c:pt>
                <c:pt idx="22">
                  <c:v>326.72389979678292</c:v>
                </c:pt>
                <c:pt idx="23">
                  <c:v>329.93013877629102</c:v>
                </c:pt>
                <c:pt idx="24">
                  <c:v>333.08286805934915</c:v>
                </c:pt>
                <c:pt idx="25">
                  <c:v>336.06765480598972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243.19612278971437</c:v>
                </c:pt>
                <c:pt idx="1">
                  <c:v>249.98731917634257</c:v>
                </c:pt>
                <c:pt idx="2">
                  <c:v>261.71917761756509</c:v>
                </c:pt>
                <c:pt idx="3">
                  <c:v>258.81032167694866</c:v>
                </c:pt>
                <c:pt idx="4">
                  <c:v>256.25698481690449</c:v>
                </c:pt>
                <c:pt idx="5">
                  <c:v>256.84031370282202</c:v>
                </c:pt>
                <c:pt idx="6">
                  <c:v>277.41612253002154</c:v>
                </c:pt>
                <c:pt idx="7">
                  <c:v>268.09195374091462</c:v>
                </c:pt>
                <c:pt idx="8">
                  <c:v>257.55688764589786</c:v>
                </c:pt>
                <c:pt idx="9">
                  <c:v>251.30591714714487</c:v>
                </c:pt>
                <c:pt idx="10">
                  <c:v>253.42954939024094</c:v>
                </c:pt>
                <c:pt idx="11">
                  <c:v>250.84597509052929</c:v>
                </c:pt>
                <c:pt idx="12">
                  <c:v>251.94003812888906</c:v>
                </c:pt>
                <c:pt idx="13">
                  <c:v>253.35884540508243</c:v>
                </c:pt>
                <c:pt idx="14">
                  <c:v>254.68248005362949</c:v>
                </c:pt>
                <c:pt idx="15">
                  <c:v>255.34052772626313</c:v>
                </c:pt>
                <c:pt idx="16">
                  <c:v>255.70034230768985</c:v>
                </c:pt>
                <c:pt idx="17">
                  <c:v>255.81117008578738</c:v>
                </c:pt>
                <c:pt idx="18">
                  <c:v>255.80440078408174</c:v>
                </c:pt>
                <c:pt idx="19">
                  <c:v>255.77795378327761</c:v>
                </c:pt>
                <c:pt idx="20">
                  <c:v>255.75243607458737</c:v>
                </c:pt>
                <c:pt idx="21">
                  <c:v>255.61473639555027</c:v>
                </c:pt>
                <c:pt idx="22">
                  <c:v>255.46373936346998</c:v>
                </c:pt>
                <c:pt idx="23">
                  <c:v>255.19780262180683</c:v>
                </c:pt>
                <c:pt idx="24">
                  <c:v>254.94441026673866</c:v>
                </c:pt>
                <c:pt idx="25">
                  <c:v>254.44754524875714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159.72382733579099</c:v>
                </c:pt>
                <c:pt idx="1">
                  <c:v>155.81260296514426</c:v>
                </c:pt>
                <c:pt idx="2">
                  <c:v>153.13538388984918</c:v>
                </c:pt>
                <c:pt idx="3">
                  <c:v>155.60808359601859</c:v>
                </c:pt>
                <c:pt idx="4">
                  <c:v>163.84000858896309</c:v>
                </c:pt>
                <c:pt idx="5">
                  <c:v>159.49949243494439</c:v>
                </c:pt>
                <c:pt idx="6">
                  <c:v>164.59909780991481</c:v>
                </c:pt>
                <c:pt idx="7">
                  <c:v>163.81890537210953</c:v>
                </c:pt>
                <c:pt idx="8">
                  <c:v>172.26933777265586</c:v>
                </c:pt>
                <c:pt idx="9">
                  <c:v>162.35139992303468</c:v>
                </c:pt>
                <c:pt idx="10">
                  <c:v>144.73576200901678</c:v>
                </c:pt>
                <c:pt idx="11">
                  <c:v>162.00046790477592</c:v>
                </c:pt>
                <c:pt idx="12">
                  <c:v>161.7153938951912</c:v>
                </c:pt>
                <c:pt idx="13">
                  <c:v>162.56176217024915</c:v>
                </c:pt>
                <c:pt idx="14">
                  <c:v>163.36406642895349</c:v>
                </c:pt>
                <c:pt idx="15">
                  <c:v>163.64072742509563</c:v>
                </c:pt>
                <c:pt idx="16">
                  <c:v>163.83218740466106</c:v>
                </c:pt>
                <c:pt idx="17">
                  <c:v>163.94698898850345</c:v>
                </c:pt>
                <c:pt idx="18">
                  <c:v>163.97146526783524</c:v>
                </c:pt>
                <c:pt idx="19">
                  <c:v>163.99918456137246</c:v>
                </c:pt>
                <c:pt idx="20">
                  <c:v>164.16329954483692</c:v>
                </c:pt>
                <c:pt idx="21">
                  <c:v>164.29984267479523</c:v>
                </c:pt>
                <c:pt idx="22">
                  <c:v>164.40258975356409</c:v>
                </c:pt>
                <c:pt idx="23">
                  <c:v>164.67671025037933</c:v>
                </c:pt>
                <c:pt idx="24">
                  <c:v>164.98106673114796</c:v>
                </c:pt>
                <c:pt idx="25">
                  <c:v>165.50577506208251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333.4479966377632</c:v>
                </c:pt>
                <c:pt idx="1">
                  <c:v>308.44970867523716</c:v>
                </c:pt>
                <c:pt idx="2">
                  <c:v>314.38384833407224</c:v>
                </c:pt>
                <c:pt idx="3">
                  <c:v>307.01520062524975</c:v>
                </c:pt>
                <c:pt idx="4">
                  <c:v>325.67346829559324</c:v>
                </c:pt>
                <c:pt idx="5">
                  <c:v>319.52762595538832</c:v>
                </c:pt>
                <c:pt idx="6">
                  <c:v>318.58523065604118</c:v>
                </c:pt>
                <c:pt idx="7">
                  <c:v>324.17549329875163</c:v>
                </c:pt>
                <c:pt idx="8">
                  <c:v>325.43349266048574</c:v>
                </c:pt>
                <c:pt idx="9">
                  <c:v>317.82248686107948</c:v>
                </c:pt>
                <c:pt idx="10">
                  <c:v>296.29705541503404</c:v>
                </c:pt>
                <c:pt idx="11">
                  <c:v>301.42383290458264</c:v>
                </c:pt>
                <c:pt idx="12">
                  <c:v>302.62890348127075</c:v>
                </c:pt>
                <c:pt idx="13">
                  <c:v>305.51491185762109</c:v>
                </c:pt>
                <c:pt idx="14">
                  <c:v>306.91836308484608</c:v>
                </c:pt>
                <c:pt idx="15">
                  <c:v>306.89225466411546</c:v>
                </c:pt>
                <c:pt idx="16">
                  <c:v>306.80733021277001</c:v>
                </c:pt>
                <c:pt idx="17">
                  <c:v>306.34351783864997</c:v>
                </c:pt>
                <c:pt idx="18">
                  <c:v>305.54930381924805</c:v>
                </c:pt>
                <c:pt idx="19">
                  <c:v>304.67613236223411</c:v>
                </c:pt>
                <c:pt idx="20">
                  <c:v>304.29219427849762</c:v>
                </c:pt>
                <c:pt idx="21">
                  <c:v>303.57439687961664</c:v>
                </c:pt>
                <c:pt idx="22">
                  <c:v>302.68478539324298</c:v>
                </c:pt>
                <c:pt idx="23">
                  <c:v>301.7640688983505</c:v>
                </c:pt>
                <c:pt idx="24">
                  <c:v>300.82409653369393</c:v>
                </c:pt>
                <c:pt idx="25">
                  <c:v>299.85757506100578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394.1491291119242</c:v>
                </c:pt>
                <c:pt idx="1">
                  <c:v>810.33534990681005</c:v>
                </c:pt>
                <c:pt idx="2">
                  <c:v>411.60929315144847</c:v>
                </c:pt>
                <c:pt idx="3">
                  <c:v>261.62983253168687</c:v>
                </c:pt>
                <c:pt idx="4">
                  <c:v>306.49084511758724</c:v>
                </c:pt>
                <c:pt idx="5">
                  <c:v>336.06765480598972</c:v>
                </c:pt>
                <c:pt idx="6">
                  <c:v>254.44754524875714</c:v>
                </c:pt>
                <c:pt idx="7">
                  <c:v>165.50577506208251</c:v>
                </c:pt>
                <c:pt idx="8">
                  <c:v>299.85757506100578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336.67165807287438</c:v>
                </c:pt>
                <c:pt idx="1">
                  <c:v>653.26421753907175</c:v>
                </c:pt>
                <c:pt idx="2">
                  <c:v>375.74934036250482</c:v>
                </c:pt>
                <c:pt idx="3">
                  <c:v>294.34089992140406</c:v>
                </c:pt>
                <c:pt idx="4">
                  <c:v>298.01318493355501</c:v>
                </c:pt>
                <c:pt idx="5">
                  <c:v>277.08533235276252</c:v>
                </c:pt>
                <c:pt idx="6">
                  <c:v>253.42954939024094</c:v>
                </c:pt>
                <c:pt idx="7">
                  <c:v>144.73576200901678</c:v>
                </c:pt>
                <c:pt idx="8">
                  <c:v>296.29705541503404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12.164747404233571</c:v>
                </c:pt>
                <c:pt idx="1">
                  <c:v>25.009632436707445</c:v>
                </c:pt>
                <c:pt idx="2">
                  <c:v>12.703625888262851</c:v>
                </c:pt>
                <c:pt idx="3">
                  <c:v>8.0747630556254268</c:v>
                </c:pt>
                <c:pt idx="4">
                  <c:v>9.4593224675292777</c:v>
                </c:pt>
                <c:pt idx="5">
                  <c:v>10.372160762245732</c:v>
                </c:pt>
                <c:pt idx="6">
                  <c:v>7.8530938849276799</c:v>
                </c:pt>
                <c:pt idx="7">
                  <c:v>5.1080563138842257</c:v>
                </c:pt>
                <c:pt idx="8">
                  <c:v>9.2545977865837923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11.492120154591099</c:v>
                </c:pt>
                <c:pt idx="1">
                  <c:v>22.298850231785579</c:v>
                </c:pt>
                <c:pt idx="2">
                  <c:v>12.826017468092202</c:v>
                </c:pt>
                <c:pt idx="3">
                  <c:v>10.047180709149764</c:v>
                </c:pt>
                <c:pt idx="4">
                  <c:v>10.172532337626931</c:v>
                </c:pt>
                <c:pt idx="5">
                  <c:v>9.4581704640653079</c:v>
                </c:pt>
                <c:pt idx="6">
                  <c:v>8.6506920392037099</c:v>
                </c:pt>
                <c:pt idx="7">
                  <c:v>4.9404834882593169</c:v>
                </c:pt>
                <c:pt idx="8">
                  <c:v>10.113953107226092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9.9976137980683575</c:v>
                </c:pt>
                <c:pt idx="1">
                  <c:v>19.725068265533409</c:v>
                </c:pt>
                <c:pt idx="2">
                  <c:v>11.789153065086984</c:v>
                </c:pt>
                <c:pt idx="3">
                  <c:v>10.299623759661547</c:v>
                </c:pt>
                <c:pt idx="4">
                  <c:v>11.780023561654176</c:v>
                </c:pt>
                <c:pt idx="5">
                  <c:v>10.294036303503209</c:v>
                </c:pt>
                <c:pt idx="6">
                  <c:v>9.1147552711457216</c:v>
                </c:pt>
                <c:pt idx="7">
                  <c:v>5.6603218492350837</c:v>
                </c:pt>
                <c:pt idx="8">
                  <c:v>11.339404126111509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8.5682096613774669E-2</c:v>
                </c:pt>
                <c:pt idx="1">
                  <c:v>9.6035128356883645E-2</c:v>
                </c:pt>
                <c:pt idx="2">
                  <c:v>9.5255030583499836E-2</c:v>
                </c:pt>
                <c:pt idx="3">
                  <c:v>9.8192305937495283E-2</c:v>
                </c:pt>
                <c:pt idx="4">
                  <c:v>0.10040095221147233</c:v>
                </c:pt>
                <c:pt idx="5">
                  <c:v>9.9976137980683569E-2</c:v>
                </c:pt>
                <c:pt idx="6">
                  <c:v>0.10046086732143887</c:v>
                </c:pt>
                <c:pt idx="7">
                  <c:v>0.10713049721966383</c:v>
                </c:pt>
                <c:pt idx="8">
                  <c:v>0.10759984908179543</c:v>
                </c:pt>
                <c:pt idx="9">
                  <c:v>0.11076947080844839</c:v>
                </c:pt>
                <c:pt idx="10">
                  <c:v>0.11492120154591098</c:v>
                </c:pt>
                <c:pt idx="11">
                  <c:v>0.11139054521255073</c:v>
                </c:pt>
                <c:pt idx="12">
                  <c:v>0.11222641688950089</c:v>
                </c:pt>
                <c:pt idx="13">
                  <c:v>0.11309030619586791</c:v>
                </c:pt>
                <c:pt idx="14">
                  <c:v>0.1139350972886555</c:v>
                </c:pt>
                <c:pt idx="15">
                  <c:v>0.11475677095242227</c:v>
                </c:pt>
                <c:pt idx="16">
                  <c:v>0.11553287251712761</c:v>
                </c:pt>
                <c:pt idx="17">
                  <c:v>0.11628109147131289</c:v>
                </c:pt>
                <c:pt idx="18">
                  <c:v>0.11705895776815842</c:v>
                </c:pt>
                <c:pt idx="19">
                  <c:v>0.11783769461583118</c:v>
                </c:pt>
                <c:pt idx="20">
                  <c:v>0.11862579621292418</c:v>
                </c:pt>
                <c:pt idx="21">
                  <c:v>0.1194353049997094</c:v>
                </c:pt>
                <c:pt idx="22">
                  <c:v>0.12021033372425642</c:v>
                </c:pt>
                <c:pt idx="23">
                  <c:v>0.12100182477187078</c:v>
                </c:pt>
                <c:pt idx="24">
                  <c:v>0.12165413611145651</c:v>
                </c:pt>
                <c:pt idx="25">
                  <c:v>0.12164747404233571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0.19264277153157411</c:v>
                </c:pt>
                <c:pt idx="1">
                  <c:v>0.19475850417596882</c:v>
                </c:pt>
                <c:pt idx="2">
                  <c:v>0.19343718040643013</c:v>
                </c:pt>
                <c:pt idx="3">
                  <c:v>0.19643812204520009</c:v>
                </c:pt>
                <c:pt idx="4">
                  <c:v>0.19279920588198124</c:v>
                </c:pt>
                <c:pt idx="5">
                  <c:v>0.19725068265533408</c:v>
                </c:pt>
                <c:pt idx="6">
                  <c:v>0.20223731189873684</c:v>
                </c:pt>
                <c:pt idx="7">
                  <c:v>0.19964478941688746</c:v>
                </c:pt>
                <c:pt idx="8">
                  <c:v>0.20528545367730525</c:v>
                </c:pt>
                <c:pt idx="9">
                  <c:v>0.21358756476579085</c:v>
                </c:pt>
                <c:pt idx="10">
                  <c:v>0.22298850231785577</c:v>
                </c:pt>
                <c:pt idx="11">
                  <c:v>0.22859570673733767</c:v>
                </c:pt>
                <c:pt idx="12">
                  <c:v>0.22995227778923835</c:v>
                </c:pt>
                <c:pt idx="13">
                  <c:v>0.23105371447286494</c:v>
                </c:pt>
                <c:pt idx="14">
                  <c:v>0.23244026893892766</c:v>
                </c:pt>
                <c:pt idx="15">
                  <c:v>0.23397074666338027</c:v>
                </c:pt>
                <c:pt idx="16">
                  <c:v>0.23551173661658426</c:v>
                </c:pt>
                <c:pt idx="17">
                  <c:v>0.23706358613241083</c:v>
                </c:pt>
                <c:pt idx="18">
                  <c:v>0.23868421973310994</c:v>
                </c:pt>
                <c:pt idx="19">
                  <c:v>0.24033228331659526</c:v>
                </c:pt>
                <c:pt idx="20">
                  <c:v>0.24194028097922879</c:v>
                </c:pt>
                <c:pt idx="21">
                  <c:v>0.24351523640549755</c:v>
                </c:pt>
                <c:pt idx="22">
                  <c:v>0.24515040663669699</c:v>
                </c:pt>
                <c:pt idx="23">
                  <c:v>0.24686427506946182</c:v>
                </c:pt>
                <c:pt idx="24">
                  <c:v>0.24851817579259039</c:v>
                </c:pt>
                <c:pt idx="25">
                  <c:v>0.25009632436707446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0.11293162667371191</c:v>
                </c:pt>
                <c:pt idx="1">
                  <c:v>0.11661712265760087</c:v>
                </c:pt>
                <c:pt idx="2">
                  <c:v>0.11690620043351618</c:v>
                </c:pt>
                <c:pt idx="3">
                  <c:v>0.11587537136806254</c:v>
                </c:pt>
                <c:pt idx="4">
                  <c:v>0.11629604308095251</c:v>
                </c:pt>
                <c:pt idx="5">
                  <c:v>0.11789153065086984</c:v>
                </c:pt>
                <c:pt idx="6">
                  <c:v>0.11798362158103756</c:v>
                </c:pt>
                <c:pt idx="7">
                  <c:v>0.11920112450867464</c:v>
                </c:pt>
                <c:pt idx="8">
                  <c:v>0.12237741925895625</c:v>
                </c:pt>
                <c:pt idx="9">
                  <c:v>0.12212485656312985</c:v>
                </c:pt>
                <c:pt idx="10">
                  <c:v>0.12826017468092202</c:v>
                </c:pt>
                <c:pt idx="11">
                  <c:v>0.12097730060767925</c:v>
                </c:pt>
                <c:pt idx="12">
                  <c:v>0.1217066927077075</c:v>
                </c:pt>
                <c:pt idx="13">
                  <c:v>0.12213614303283915</c:v>
                </c:pt>
                <c:pt idx="14">
                  <c:v>0.12251995369438244</c:v>
                </c:pt>
                <c:pt idx="15">
                  <c:v>0.12290684961284691</c:v>
                </c:pt>
                <c:pt idx="16">
                  <c:v>0.12327339459056544</c:v>
                </c:pt>
                <c:pt idx="17">
                  <c:v>0.12363645820355082</c:v>
                </c:pt>
                <c:pt idx="18">
                  <c:v>0.12401146555974416</c:v>
                </c:pt>
                <c:pt idx="19">
                  <c:v>0.12440099567639536</c:v>
                </c:pt>
                <c:pt idx="20">
                  <c:v>0.1248136261808085</c:v>
                </c:pt>
                <c:pt idx="21">
                  <c:v>0.12525292092388868</c:v>
                </c:pt>
                <c:pt idx="22">
                  <c:v>0.12576850769399492</c:v>
                </c:pt>
                <c:pt idx="23">
                  <c:v>0.12622956351466813</c:v>
                </c:pt>
                <c:pt idx="24">
                  <c:v>0.12668922398513049</c:v>
                </c:pt>
                <c:pt idx="25">
                  <c:v>0.12703625888262851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0.11302783000458433</c:v>
                </c:pt>
                <c:pt idx="1">
                  <c:v>0.10621025039605383</c:v>
                </c:pt>
                <c:pt idx="2">
                  <c:v>0.10669330811530194</c:v>
                </c:pt>
                <c:pt idx="3">
                  <c:v>0.10674233088890778</c:v>
                </c:pt>
                <c:pt idx="4">
                  <c:v>0.10584668169069694</c:v>
                </c:pt>
                <c:pt idx="5">
                  <c:v>0.10299623759661547</c:v>
                </c:pt>
                <c:pt idx="6">
                  <c:v>9.7655499069313131E-2</c:v>
                </c:pt>
                <c:pt idx="7">
                  <c:v>0.10053067984189469</c:v>
                </c:pt>
                <c:pt idx="8">
                  <c:v>9.8181581642335689E-2</c:v>
                </c:pt>
                <c:pt idx="9">
                  <c:v>9.5633671687216829E-2</c:v>
                </c:pt>
                <c:pt idx="10">
                  <c:v>0.10047180709149764</c:v>
                </c:pt>
                <c:pt idx="11">
                  <c:v>9.6722635533170953E-2</c:v>
                </c:pt>
                <c:pt idx="12">
                  <c:v>9.5468381825864465E-2</c:v>
                </c:pt>
                <c:pt idx="13">
                  <c:v>9.4100940171347763E-2</c:v>
                </c:pt>
                <c:pt idx="14">
                  <c:v>9.2739568100990072E-2</c:v>
                </c:pt>
                <c:pt idx="15">
                  <c:v>9.1393103413540469E-2</c:v>
                </c:pt>
                <c:pt idx="16">
                  <c:v>9.0105374200114247E-2</c:v>
                </c:pt>
                <c:pt idx="17">
                  <c:v>8.8993253921757165E-2</c:v>
                </c:pt>
                <c:pt idx="18">
                  <c:v>8.7817911343820734E-2</c:v>
                </c:pt>
                <c:pt idx="19">
                  <c:v>8.6599628688154795E-2</c:v>
                </c:pt>
                <c:pt idx="20">
                  <c:v>8.5268987472515434E-2</c:v>
                </c:pt>
                <c:pt idx="21">
                  <c:v>8.4049078548668832E-2</c:v>
                </c:pt>
                <c:pt idx="22">
                  <c:v>8.2891678309378894E-2</c:v>
                </c:pt>
                <c:pt idx="23">
                  <c:v>8.1683559910108214E-2</c:v>
                </c:pt>
                <c:pt idx="24">
                  <c:v>8.0665993436302375E-2</c:v>
                </c:pt>
                <c:pt idx="25">
                  <c:v>8.0747630556254266E-2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0.11665576902979505</c:v>
                </c:pt>
                <c:pt idx="1">
                  <c:v>0.11928160492614628</c:v>
                </c:pt>
                <c:pt idx="2">
                  <c:v>0.11437806750036478</c:v>
                </c:pt>
                <c:pt idx="3">
                  <c:v>0.11408984521707224</c:v>
                </c:pt>
                <c:pt idx="4">
                  <c:v>0.11636997895512871</c:v>
                </c:pt>
                <c:pt idx="5">
                  <c:v>0.11780023561654175</c:v>
                </c:pt>
                <c:pt idx="6">
                  <c:v>0.11454337755263114</c:v>
                </c:pt>
                <c:pt idx="7">
                  <c:v>0.11348286811492424</c:v>
                </c:pt>
                <c:pt idx="8">
                  <c:v>0.1104791235306487</c:v>
                </c:pt>
                <c:pt idx="9">
                  <c:v>0.11153686296713626</c:v>
                </c:pt>
                <c:pt idx="10">
                  <c:v>0.10172532337626931</c:v>
                </c:pt>
                <c:pt idx="11">
                  <c:v>0.10251481447196108</c:v>
                </c:pt>
                <c:pt idx="12">
                  <c:v>0.10181366696594123</c:v>
                </c:pt>
                <c:pt idx="13">
                  <c:v>0.10149382584139897</c:v>
                </c:pt>
                <c:pt idx="14">
                  <c:v>0.10105116119345728</c:v>
                </c:pt>
                <c:pt idx="15">
                  <c:v>0.10043000470031317</c:v>
                </c:pt>
                <c:pt idx="16">
                  <c:v>9.9880199735398092E-2</c:v>
                </c:pt>
                <c:pt idx="17">
                  <c:v>9.9329204423546466E-2</c:v>
                </c:pt>
                <c:pt idx="18">
                  <c:v>9.8771273750204808E-2</c:v>
                </c:pt>
                <c:pt idx="19">
                  <c:v>9.8216487884149745E-2</c:v>
                </c:pt>
                <c:pt idx="20">
                  <c:v>9.7665853914091855E-2</c:v>
                </c:pt>
                <c:pt idx="21">
                  <c:v>9.7112833936535012E-2</c:v>
                </c:pt>
                <c:pt idx="22">
                  <c:v>9.6551056200697413E-2</c:v>
                </c:pt>
                <c:pt idx="23">
                  <c:v>9.5968885374724214E-2</c:v>
                </c:pt>
                <c:pt idx="24">
                  <c:v>9.5379279424843574E-2</c:v>
                </c:pt>
                <c:pt idx="25">
                  <c:v>9.4593224675292784E-2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0.10375324897514174</c:v>
                </c:pt>
                <c:pt idx="1">
                  <c:v>9.8567549926130066E-2</c:v>
                </c:pt>
                <c:pt idx="2">
                  <c:v>0.10039285131585376</c:v>
                </c:pt>
                <c:pt idx="3">
                  <c:v>0.10319601765996272</c:v>
                </c:pt>
                <c:pt idx="4">
                  <c:v>0.10414630930786417</c:v>
                </c:pt>
                <c:pt idx="5">
                  <c:v>0.10294036303503208</c:v>
                </c:pt>
                <c:pt idx="6">
                  <c:v>0.10131358815306704</c:v>
                </c:pt>
                <c:pt idx="7">
                  <c:v>9.9303734245792141E-2</c:v>
                </c:pt>
                <c:pt idx="8">
                  <c:v>9.8766464346921157E-2</c:v>
                </c:pt>
                <c:pt idx="9">
                  <c:v>9.9401799834343371E-2</c:v>
                </c:pt>
                <c:pt idx="10">
                  <c:v>9.4581704640653075E-2</c:v>
                </c:pt>
                <c:pt idx="11">
                  <c:v>9.7380276794733697E-2</c:v>
                </c:pt>
                <c:pt idx="12">
                  <c:v>9.7977688360322918E-2</c:v>
                </c:pt>
                <c:pt idx="13">
                  <c:v>9.8299050465467344E-2</c:v>
                </c:pt>
                <c:pt idx="14">
                  <c:v>9.8704512264058769E-2</c:v>
                </c:pt>
                <c:pt idx="15">
                  <c:v>9.9224648068990118E-2</c:v>
                </c:pt>
                <c:pt idx="16">
                  <c:v>9.9680757736874959E-2</c:v>
                </c:pt>
                <c:pt idx="17">
                  <c:v>0.10009894040077828</c:v>
                </c:pt>
                <c:pt idx="18">
                  <c:v>0.10062753442160717</c:v>
                </c:pt>
                <c:pt idx="19">
                  <c:v>0.10115641599653749</c:v>
                </c:pt>
                <c:pt idx="20">
                  <c:v>0.10167543809971279</c:v>
                </c:pt>
                <c:pt idx="21">
                  <c:v>0.10217851438858735</c:v>
                </c:pt>
                <c:pt idx="22">
                  <c:v>0.10257749883595373</c:v>
                </c:pt>
                <c:pt idx="23">
                  <c:v>0.10298917222774806</c:v>
                </c:pt>
                <c:pt idx="24">
                  <c:v>0.10338373916412297</c:v>
                </c:pt>
                <c:pt idx="25">
                  <c:v>0.10372160762245733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9.0923989693715651E-2</c:v>
                </c:pt>
                <c:pt idx="1">
                  <c:v>9.3985424443274429E-2</c:v>
                </c:pt>
                <c:pt idx="2">
                  <c:v>9.7955539459822688E-2</c:v>
                </c:pt>
                <c:pt idx="3">
                  <c:v>9.5234463814893297E-2</c:v>
                </c:pt>
                <c:pt idx="4">
                  <c:v>9.0762420677433911E-2</c:v>
                </c:pt>
                <c:pt idx="5">
                  <c:v>9.1147552711457219E-2</c:v>
                </c:pt>
                <c:pt idx="6">
                  <c:v>9.6948136296172674E-2</c:v>
                </c:pt>
                <c:pt idx="7">
                  <c:v>9.2440847371480589E-2</c:v>
                </c:pt>
                <c:pt idx="8">
                  <c:v>8.7747286276394873E-2</c:v>
                </c:pt>
                <c:pt idx="9">
                  <c:v>8.4840256326720959E-2</c:v>
                </c:pt>
                <c:pt idx="10">
                  <c:v>8.6506920392037098E-2</c:v>
                </c:pt>
                <c:pt idx="11">
                  <c:v>8.5135504600371101E-2</c:v>
                </c:pt>
                <c:pt idx="12">
                  <c:v>8.4716338888618403E-2</c:v>
                </c:pt>
                <c:pt idx="13">
                  <c:v>8.4223803573609354E-2</c:v>
                </c:pt>
                <c:pt idx="14">
                  <c:v>8.3824255166525849E-2</c:v>
                </c:pt>
                <c:pt idx="15">
                  <c:v>8.3481310486712687E-2</c:v>
                </c:pt>
                <c:pt idx="16">
                  <c:v>8.3086843444432817E-2</c:v>
                </c:pt>
                <c:pt idx="17">
                  <c:v>8.2650480012954733E-2</c:v>
                </c:pt>
                <c:pt idx="18">
                  <c:v>8.2183486024896113E-2</c:v>
                </c:pt>
                <c:pt idx="19">
                  <c:v>8.1718822695027976E-2</c:v>
                </c:pt>
                <c:pt idx="20">
                  <c:v>8.1227531178218279E-2</c:v>
                </c:pt>
                <c:pt idx="21">
                  <c:v>8.0715464202726947E-2</c:v>
                </c:pt>
                <c:pt idx="22">
                  <c:v>8.0204819554014012E-2</c:v>
                </c:pt>
                <c:pt idx="23">
                  <c:v>7.9661138396880535E-2</c:v>
                </c:pt>
                <c:pt idx="24">
                  <c:v>7.9130777772909416E-2</c:v>
                </c:pt>
                <c:pt idx="25">
                  <c:v>7.8530938849276796E-2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5.9716114977201834E-2</c:v>
                </c:pt>
                <c:pt idx="1">
                  <c:v>5.857942583463778E-2</c:v>
                </c:pt>
                <c:pt idx="2">
                  <c:v>5.7315093513080298E-2</c:v>
                </c:pt>
                <c:pt idx="3">
                  <c:v>5.7259124406280677E-2</c:v>
                </c:pt>
                <c:pt idx="4">
                  <c:v>5.8029699342520676E-2</c:v>
                </c:pt>
                <c:pt idx="5">
                  <c:v>5.6603218492350837E-2</c:v>
                </c:pt>
                <c:pt idx="6">
                  <c:v>5.7522164260571315E-2</c:v>
                </c:pt>
                <c:pt idx="7">
                  <c:v>5.6486433914764211E-2</c:v>
                </c:pt>
                <c:pt idx="8">
                  <c:v>5.8690594673455845E-2</c:v>
                </c:pt>
                <c:pt idx="9">
                  <c:v>5.4809431233596141E-2</c:v>
                </c:pt>
                <c:pt idx="10">
                  <c:v>4.9404834882593167E-2</c:v>
                </c:pt>
                <c:pt idx="11">
                  <c:v>5.4981913006943189E-2</c:v>
                </c:pt>
                <c:pt idx="12">
                  <c:v>5.4377764703372522E-2</c:v>
                </c:pt>
                <c:pt idx="13">
                  <c:v>5.4040228608226083E-2</c:v>
                </c:pt>
                <c:pt idx="14">
                  <c:v>5.3768406788320518E-2</c:v>
                </c:pt>
                <c:pt idx="15">
                  <c:v>5.350087781243678E-2</c:v>
                </c:pt>
                <c:pt idx="16">
                  <c:v>5.3235358166513806E-2</c:v>
                </c:pt>
                <c:pt idx="17">
                  <c:v>5.2969920477023195E-2</c:v>
                </c:pt>
                <c:pt idx="18">
                  <c:v>5.2679885815160095E-2</c:v>
                </c:pt>
                <c:pt idx="19">
                  <c:v>5.2396307371570493E-2</c:v>
                </c:pt>
                <c:pt idx="20">
                  <c:v>5.2138621773317323E-2</c:v>
                </c:pt>
                <c:pt idx="21">
                  <c:v>5.1880960608662152E-2</c:v>
                </c:pt>
                <c:pt idx="22">
                  <c:v>5.1615466360321792E-2</c:v>
                </c:pt>
                <c:pt idx="23">
                  <c:v>5.1404573516016204E-2</c:v>
                </c:pt>
                <c:pt idx="24">
                  <c:v>5.1207555853375927E-2</c:v>
                </c:pt>
                <c:pt idx="25">
                  <c:v>5.108056313884226E-2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0.12466655250050059</c:v>
                </c:pt>
                <c:pt idx="1">
                  <c:v>0.11596498928330419</c:v>
                </c:pt>
                <c:pt idx="2">
                  <c:v>0.11766672867213035</c:v>
                </c:pt>
                <c:pt idx="3">
                  <c:v>0.11297241866212525</c:v>
                </c:pt>
                <c:pt idx="4">
                  <c:v>0.11534870885194953</c:v>
                </c:pt>
                <c:pt idx="5">
                  <c:v>0.11339404126111509</c:v>
                </c:pt>
                <c:pt idx="6">
                  <c:v>0.11133543386703137</c:v>
                </c:pt>
                <c:pt idx="7">
                  <c:v>0.11177902536591844</c:v>
                </c:pt>
                <c:pt idx="8">
                  <c:v>0.11087222751218669</c:v>
                </c:pt>
                <c:pt idx="9">
                  <c:v>0.10729608581361742</c:v>
                </c:pt>
                <c:pt idx="10">
                  <c:v>0.10113953107226091</c:v>
                </c:pt>
                <c:pt idx="11">
                  <c:v>0.10230130303525228</c:v>
                </c:pt>
                <c:pt idx="12">
                  <c:v>0.10176077186943377</c:v>
                </c:pt>
                <c:pt idx="13">
                  <c:v>0.10156198763837859</c:v>
                </c:pt>
                <c:pt idx="14">
                  <c:v>0.10101677656468198</c:v>
                </c:pt>
                <c:pt idx="15">
                  <c:v>0.10033568828935727</c:v>
                </c:pt>
                <c:pt idx="16">
                  <c:v>9.9693462992388793E-2</c:v>
                </c:pt>
                <c:pt idx="17">
                  <c:v>9.8977064956665486E-2</c:v>
                </c:pt>
                <c:pt idx="18">
                  <c:v>9.8165265583298481E-2</c:v>
                </c:pt>
                <c:pt idx="19">
                  <c:v>9.7341363755737667E-2</c:v>
                </c:pt>
                <c:pt idx="20">
                  <c:v>9.6643864189182971E-2</c:v>
                </c:pt>
                <c:pt idx="21">
                  <c:v>9.5859685985724211E-2</c:v>
                </c:pt>
                <c:pt idx="22">
                  <c:v>9.5030232684685911E-2</c:v>
                </c:pt>
                <c:pt idx="23">
                  <c:v>9.4197007218522005E-2</c:v>
                </c:pt>
                <c:pt idx="24">
                  <c:v>9.3371118459268418E-2</c:v>
                </c:pt>
                <c:pt idx="25">
                  <c:v>9.2545977865837931E-2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46.393064507105521</c:v>
                </c:pt>
                <c:pt idx="1">
                  <c:v>76.845990084499022</c:v>
                </c:pt>
                <c:pt idx="2">
                  <c:v>29.546007072325779</c:v>
                </c:pt>
                <c:pt idx="3">
                  <c:v>-6.9509857634272976</c:v>
                </c:pt>
                <c:pt idx="4">
                  <c:v>-1.5595069792470895</c:v>
                </c:pt>
                <c:pt idx="5">
                  <c:v>4.3680592431786636</c:v>
                </c:pt>
                <c:pt idx="6">
                  <c:v>-5.5343965556771479</c:v>
                </c:pt>
                <c:pt idx="7">
                  <c:v>2.8519074880902906</c:v>
                </c:pt>
                <c:pt idx="8">
                  <c:v>-1.7051390943088336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8.5606332049123353</c:v>
                </c:pt>
                <c:pt idx="1">
                  <c:v>20.594996833443702</c:v>
                </c:pt>
                <c:pt idx="2">
                  <c:v>14.002447862904489</c:v>
                </c:pt>
                <c:pt idx="3">
                  <c:v>11.063731581030595</c:v>
                </c:pt>
                <c:pt idx="4">
                  <c:v>-32.370937619401218</c:v>
                </c:pt>
                <c:pt idx="5">
                  <c:v>-17.353434749110193</c:v>
                </c:pt>
                <c:pt idx="6">
                  <c:v>2.1236322430960684</c:v>
                </c:pt>
                <c:pt idx="7">
                  <c:v>-17.615637914017896</c:v>
                </c:pt>
                <c:pt idx="8">
                  <c:v>-21.525431446045445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14.329713183956471</c:v>
                </c:pt>
                <c:pt idx="1">
                  <c:v>62.371576595283727</c:v>
                </c:pt>
                <c:pt idx="2">
                  <c:v>0.1803097393809594</c:v>
                </c:pt>
                <c:pt idx="3">
                  <c:v>-14.800927200579338</c:v>
                </c:pt>
                <c:pt idx="4">
                  <c:v>9.1675510925122694</c:v>
                </c:pt>
                <c:pt idx="5">
                  <c:v>26.408633586132169</c:v>
                </c:pt>
                <c:pt idx="6">
                  <c:v>1.9109783360221968</c:v>
                </c:pt>
                <c:pt idx="7">
                  <c:v>18.904965416078852</c:v>
                </c:pt>
                <c:pt idx="8">
                  <c:v>10.595199249081418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43.147757855093346</c:v>
                </c:pt>
                <c:pt idx="1">
                  <c:v>94.699555772454573</c:v>
                </c:pt>
                <c:pt idx="2">
                  <c:v>35.679643049562685</c:v>
                </c:pt>
                <c:pt idx="3">
                  <c:v>-17.910140189137849</c:v>
                </c:pt>
                <c:pt idx="4">
                  <c:v>-0.68989090848003798</c:v>
                </c:pt>
                <c:pt idx="5">
                  <c:v>32.573688867095029</c:v>
                </c:pt>
                <c:pt idx="6">
                  <c:v>-0.89298247750599558</c:v>
                </c:pt>
                <c:pt idx="7">
                  <c:v>1.8650476369868727</c:v>
                </c:pt>
                <c:pt idx="8">
                  <c:v>-7.0346796031096801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57.477471039049817</c:v>
                </c:pt>
                <c:pt idx="1">
                  <c:v>157.0711323677383</c:v>
                </c:pt>
                <c:pt idx="2">
                  <c:v>35.859952788943644</c:v>
                </c:pt>
                <c:pt idx="3">
                  <c:v>-32.711067389717186</c:v>
                </c:pt>
                <c:pt idx="4">
                  <c:v>8.4776601840322314</c:v>
                </c:pt>
                <c:pt idx="5">
                  <c:v>58.982322453227198</c:v>
                </c:pt>
                <c:pt idx="6">
                  <c:v>1.0179958585162012</c:v>
                </c:pt>
                <c:pt idx="7">
                  <c:v>20.770013053065725</c:v>
                </c:pt>
                <c:pt idx="8">
                  <c:v>3.5605196459717376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27.495117694548526</c:v>
                </c:pt>
                <c:pt idx="1">
                  <c:v>88.468582046702863</c:v>
                </c:pt>
                <c:pt idx="2">
                  <c:v>36.471976953617286</c:v>
                </c:pt>
                <c:pt idx="3">
                  <c:v>-35.68884351594707</c:v>
                </c:pt>
                <c:pt idx="4">
                  <c:v>9.7199489538414241</c:v>
                </c:pt>
                <c:pt idx="5">
                  <c:v>43.972976829714582</c:v>
                </c:pt>
                <c:pt idx="6">
                  <c:v>-5.4942472829261817</c:v>
                </c:pt>
                <c:pt idx="7">
                  <c:v>10.377092151209109</c:v>
                </c:pt>
                <c:pt idx="8">
                  <c:v>2.724396171962411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29.982353344501917</c:v>
                </c:pt>
                <c:pt idx="1">
                  <c:v>68.602550321035665</c:v>
                </c:pt>
                <c:pt idx="2">
                  <c:v>-0.6120241646739828</c:v>
                </c:pt>
                <c:pt idx="3">
                  <c:v>2.9777761262302533</c:v>
                </c:pt>
                <c:pt idx="4">
                  <c:v>-1.2422887698093632</c:v>
                </c:pt>
                <c:pt idx="5">
                  <c:v>15.009345623512544</c:v>
                </c:pt>
                <c:pt idx="6">
                  <c:v>6.5122431414425961</c:v>
                </c:pt>
                <c:pt idx="7">
                  <c:v>10.392920901856371</c:v>
                </c:pt>
                <c:pt idx="8">
                  <c:v>0.83612347400983822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12.43903753988171</c:v>
                </c:pt>
                <c:pt idx="1">
                  <c:v>3.3484055372328783</c:v>
                </c:pt>
                <c:pt idx="2">
                  <c:v>9.7573533166936386</c:v>
                </c:pt>
                <c:pt idx="3">
                  <c:v>4.3872973789963652</c:v>
                </c:pt>
                <c:pt idx="4">
                  <c:v>15.503045612503072</c:v>
                </c:pt>
                <c:pt idx="5">
                  <c:v>11.421109670856893</c:v>
                </c:pt>
                <c:pt idx="6">
                  <c:v>-2.1553609706479939</c:v>
                </c:pt>
                <c:pt idx="7">
                  <c:v>5.8178688656926987</c:v>
                </c:pt>
                <c:pt idx="8">
                  <c:v>12.175243050891019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13.071347146522037</c:v>
                </c:pt>
                <c:pt idx="1">
                  <c:v>45.800123284391901</c:v>
                </c:pt>
                <c:pt idx="2">
                  <c:v>12.830638699745947</c:v>
                </c:pt>
                <c:pt idx="3">
                  <c:v>-16.194211126960894</c:v>
                </c:pt>
                <c:pt idx="4">
                  <c:v>5.5810232697547129</c:v>
                </c:pt>
                <c:pt idx="5">
                  <c:v>18.329377559697463</c:v>
                </c:pt>
                <c:pt idx="6">
                  <c:v>3.8704361268755747</c:v>
                </c:pt>
                <c:pt idx="7">
                  <c:v>11.151084960160187</c:v>
                </c:pt>
                <c:pt idx="8">
                  <c:v>-9.9848199243824922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31.967086352646817</c:v>
                </c:pt>
                <c:pt idx="1">
                  <c:v>107.92260354611449</c:v>
                </c:pt>
                <c:pt idx="2">
                  <c:v>13.271960772503263</c:v>
                </c:pt>
                <c:pt idx="3">
                  <c:v>-20.904153641752686</c:v>
                </c:pt>
                <c:pt idx="4">
                  <c:v>-12.606408698225977</c:v>
                </c:pt>
                <c:pt idx="5">
                  <c:v>29.231835222672927</c:v>
                </c:pt>
                <c:pt idx="6">
                  <c:v>-0.69707929771131205</c:v>
                </c:pt>
                <c:pt idx="7">
                  <c:v>3.80105922721242</c:v>
                </c:pt>
                <c:pt idx="8">
                  <c:v>1.3700965194634449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2.7539049667290385</c:v>
                </c:pt>
                <c:pt idx="1">
                  <c:v>5.2073024108258821</c:v>
                </c:pt>
                <c:pt idx="2">
                  <c:v>6.4640789438700992</c:v>
                </c:pt>
                <c:pt idx="3">
                  <c:v>3.0758550430434646</c:v>
                </c:pt>
                <c:pt idx="4">
                  <c:v>2.2465777920599308</c:v>
                </c:pt>
                <c:pt idx="5">
                  <c:v>7.7452532833198795</c:v>
                </c:pt>
                <c:pt idx="6">
                  <c:v>-1.1900742988125312</c:v>
                </c:pt>
                <c:pt idx="7">
                  <c:v>2.1681717386716279</c:v>
                </c:pt>
                <c:pt idx="8">
                  <c:v>6.6069301235689846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6.6656263016753279</c:v>
                </c:pt>
                <c:pt idx="1">
                  <c:v>32.592888319866674</c:v>
                </c:pt>
                <c:pt idx="2">
                  <c:v>13.069649645105237</c:v>
                </c:pt>
                <c:pt idx="3">
                  <c:v>-14.371137615080272</c:v>
                </c:pt>
                <c:pt idx="4">
                  <c:v>2.041069205149002</c:v>
                </c:pt>
                <c:pt idx="5">
                  <c:v>14.321884712231281</c:v>
                </c:pt>
                <c:pt idx="6">
                  <c:v>-2.8260108551165786E-3</c:v>
                </c:pt>
                <c:pt idx="7">
                  <c:v>6.0071672410507624</c:v>
                </c:pt>
                <c:pt idx="8">
                  <c:v>-12.240321802933835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18.075586426144326</c:v>
                </c:pt>
                <c:pt idx="1">
                  <c:v>50.668391316010627</c:v>
                </c:pt>
                <c:pt idx="2">
                  <c:v>16.938248364641751</c:v>
                </c:pt>
                <c:pt idx="3">
                  <c:v>-24.393560943910543</c:v>
                </c:pt>
                <c:pt idx="4">
                  <c:v>5.4323019566324984</c:v>
                </c:pt>
                <c:pt idx="5">
                  <c:v>21.905838834163546</c:v>
                </c:pt>
                <c:pt idx="6">
                  <c:v>-4.3013469732584468</c:v>
                </c:pt>
                <c:pt idx="7">
                  <c:v>2.2017531714868017</c:v>
                </c:pt>
                <c:pt idx="8">
                  <c:v>8.3577878513269823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9.6851325731526998</c:v>
                </c:pt>
                <c:pt idx="1">
                  <c:v>-1.8588968735930891</c:v>
                </c:pt>
                <c:pt idx="2">
                  <c:v>3.2932743728235288</c:v>
                </c:pt>
                <c:pt idx="3">
                  <c:v>1.311442335952917</c:v>
                </c:pt>
                <c:pt idx="4">
                  <c:v>13.25646782044312</c:v>
                </c:pt>
                <c:pt idx="5">
                  <c:v>3.6758563875370216</c:v>
                </c:pt>
                <c:pt idx="6">
                  <c:v>-0.96528667183546268</c:v>
                </c:pt>
                <c:pt idx="7">
                  <c:v>3.6496971270210885</c:v>
                </c:pt>
                <c:pt idx="8">
                  <c:v>5.5683129273219958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6.4057208448467637</c:v>
                </c:pt>
                <c:pt idx="1">
                  <c:v>13.207234964525227</c:v>
                </c:pt>
                <c:pt idx="2">
                  <c:v>-0.23901094535927569</c:v>
                </c:pt>
                <c:pt idx="3">
                  <c:v>-1.8230735118806827</c:v>
                </c:pt>
                <c:pt idx="4">
                  <c:v>3.5399540646056877</c:v>
                </c:pt>
                <c:pt idx="5">
                  <c:v>4.0074928474661125</c:v>
                </c:pt>
                <c:pt idx="6">
                  <c:v>3.8732621377306842</c:v>
                </c:pt>
                <c:pt idx="7">
                  <c:v>5.143917719109421</c:v>
                </c:pt>
                <c:pt idx="8">
                  <c:v>2.2555018785513994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13.891499926502689</c:v>
                </c:pt>
                <c:pt idx="1">
                  <c:v>57.254212230103576</c:v>
                </c:pt>
                <c:pt idx="2">
                  <c:v>-3.6662875921383886</c:v>
                </c:pt>
                <c:pt idx="3">
                  <c:v>3.489407302157872</c:v>
                </c:pt>
                <c:pt idx="4">
                  <c:v>-18.038710654858434</c:v>
                </c:pt>
                <c:pt idx="5">
                  <c:v>7.3259963885093526</c:v>
                </c:pt>
                <c:pt idx="6">
                  <c:v>3.6042676755471135</c:v>
                </c:pt>
                <c:pt idx="7">
                  <c:v>1.5993060557255347</c:v>
                </c:pt>
                <c:pt idx="8">
                  <c:v>-6.9876913318637577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124.50535454576475</c:v>
                </c:pt>
                <c:pt idx="1">
                  <c:v>153.27558398731006</c:v>
                </c:pt>
                <c:pt idx="2">
                  <c:v>115.79615755867668</c:v>
                </c:pt>
                <c:pt idx="3">
                  <c:v>119.1548532521779</c:v>
                </c:pt>
                <c:pt idx="4">
                  <c:v>115.32165922829526</c:v>
                </c:pt>
                <c:pt idx="5">
                  <c:v>93.103034115447088</c:v>
                </c:pt>
                <c:pt idx="6">
                  <c:v>93.030449010399593</c:v>
                </c:pt>
                <c:pt idx="7">
                  <c:v>87.589366445318888</c:v>
                </c:pt>
                <c:pt idx="8">
                  <c:v>95.734648745967618</c:v>
                </c:pt>
                <c:pt idx="9">
                  <c:v>85.023328126993917</c:v>
                </c:pt>
                <c:pt idx="10">
                  <c:v>103.00883345360943</c:v>
                </c:pt>
                <c:pt idx="11">
                  <c:v>96.35671476321717</c:v>
                </c:pt>
                <c:pt idx="12">
                  <c:v>84.322540016572475</c:v>
                </c:pt>
                <c:pt idx="13">
                  <c:v>81.558339622081405</c:v>
                </c:pt>
                <c:pt idx="14">
                  <c:v>78.58944361645807</c:v>
                </c:pt>
                <c:pt idx="15">
                  <c:v>76.928707164782253</c:v>
                </c:pt>
                <c:pt idx="16">
                  <c:v>75.317860913949048</c:v>
                </c:pt>
                <c:pt idx="17">
                  <c:v>73.541235144400943</c:v>
                </c:pt>
                <c:pt idx="18">
                  <c:v>71.633736106328868</c:v>
                </c:pt>
                <c:pt idx="19">
                  <c:v>69.590371435782245</c:v>
                </c:pt>
                <c:pt idx="20">
                  <c:v>67.444176603343934</c:v>
                </c:pt>
                <c:pt idx="21">
                  <c:v>65.15370322109284</c:v>
                </c:pt>
                <c:pt idx="22">
                  <c:v>62.726874934539829</c:v>
                </c:pt>
                <c:pt idx="23">
                  <c:v>60.163674768082494</c:v>
                </c:pt>
                <c:pt idx="24">
                  <c:v>57.658701053119515</c:v>
                </c:pt>
                <c:pt idx="25">
                  <c:v>58.02500358165338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418.99464645491975</c:v>
                </c:pt>
                <c:pt idx="1">
                  <c:v>393.38186628434511</c:v>
                </c:pt>
                <c:pt idx="2">
                  <c:v>383.69224353502261</c:v>
                </c:pt>
                <c:pt idx="3">
                  <c:v>367.1045041807439</c:v>
                </c:pt>
                <c:pt idx="4">
                  <c:v>399.65311538756185</c:v>
                </c:pt>
                <c:pt idx="5">
                  <c:v>350.50715207300198</c:v>
                </c:pt>
                <c:pt idx="6">
                  <c:v>394.95577816875124</c:v>
                </c:pt>
                <c:pt idx="7">
                  <c:v>354.62188144654402</c:v>
                </c:pt>
                <c:pt idx="8">
                  <c:v>377.22044106664777</c:v>
                </c:pt>
                <c:pt idx="9">
                  <c:v>404.26982468985273</c:v>
                </c:pt>
                <c:pt idx="10">
                  <c:v>366.97985469794963</c:v>
                </c:pt>
                <c:pt idx="11">
                  <c:v>332.78423787743321</c:v>
                </c:pt>
                <c:pt idx="12">
                  <c:v>349.34845348343913</c:v>
                </c:pt>
                <c:pt idx="13">
                  <c:v>345.17595859253674</c:v>
                </c:pt>
                <c:pt idx="14">
                  <c:v>340.0670778274856</c:v>
                </c:pt>
                <c:pt idx="15">
                  <c:v>333.26478368454997</c:v>
                </c:pt>
                <c:pt idx="16">
                  <c:v>325.90855704877367</c:v>
                </c:pt>
                <c:pt idx="17">
                  <c:v>318.03532783441665</c:v>
                </c:pt>
                <c:pt idx="18">
                  <c:v>309.77257478520181</c:v>
                </c:pt>
                <c:pt idx="19">
                  <c:v>301.10195549100519</c:v>
                </c:pt>
                <c:pt idx="20">
                  <c:v>292.14921259000545</c:v>
                </c:pt>
                <c:pt idx="21">
                  <c:v>282.74131708274882</c:v>
                </c:pt>
                <c:pt idx="22">
                  <c:v>272.9036326287183</c:v>
                </c:pt>
                <c:pt idx="23">
                  <c:v>262.6318352075312</c:v>
                </c:pt>
                <c:pt idx="24">
                  <c:v>251.87207252376129</c:v>
                </c:pt>
                <c:pt idx="25">
                  <c:v>240.34462131676767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580.12620452551687</c:v>
                </c:pt>
                <c:pt idx="1">
                  <c:v>603.50985597383715</c:v>
                </c:pt>
                <c:pt idx="2">
                  <c:v>611.43250822675066</c:v>
                </c:pt>
                <c:pt idx="3">
                  <c:v>599.79051804885705</c:v>
                </c:pt>
                <c:pt idx="4">
                  <c:v>593.72310803007861</c:v>
                </c:pt>
                <c:pt idx="5">
                  <c:v>617.45326690283457</c:v>
                </c:pt>
                <c:pt idx="6">
                  <c:v>571.99965539276297</c:v>
                </c:pt>
                <c:pt idx="7">
                  <c:v>589.09544579004421</c:v>
                </c:pt>
                <c:pt idx="8">
                  <c:v>594.06159437282031</c:v>
                </c:pt>
                <c:pt idx="9">
                  <c:v>584.65545940073844</c:v>
                </c:pt>
                <c:pt idx="10">
                  <c:v>554.22503662659665</c:v>
                </c:pt>
                <c:pt idx="11">
                  <c:v>530.46564549654829</c:v>
                </c:pt>
                <c:pt idx="12">
                  <c:v>534.48631096405427</c:v>
                </c:pt>
                <c:pt idx="13">
                  <c:v>527.31929857127386</c:v>
                </c:pt>
                <c:pt idx="14">
                  <c:v>519.27713472616858</c:v>
                </c:pt>
                <c:pt idx="15">
                  <c:v>509.20118907411359</c:v>
                </c:pt>
                <c:pt idx="16">
                  <c:v>498.8339395073354</c:v>
                </c:pt>
                <c:pt idx="17">
                  <c:v>488.26232493881196</c:v>
                </c:pt>
                <c:pt idx="18">
                  <c:v>477.68546916219225</c:v>
                </c:pt>
                <c:pt idx="19">
                  <c:v>467.09318502576826</c:v>
                </c:pt>
                <c:pt idx="20">
                  <c:v>456.68833447602395</c:v>
                </c:pt>
                <c:pt idx="21">
                  <c:v>446.22539524240517</c:v>
                </c:pt>
                <c:pt idx="22">
                  <c:v>435.7572086445515</c:v>
                </c:pt>
                <c:pt idx="23">
                  <c:v>425.29536968517408</c:v>
                </c:pt>
                <c:pt idx="24">
                  <c:v>414.77484448299077</c:v>
                </c:pt>
                <c:pt idx="25">
                  <c:v>403.81458697048708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593.56557741741813</c:v>
                </c:pt>
                <c:pt idx="1">
                  <c:v>559.82361113099614</c:v>
                </c:pt>
                <c:pt idx="2">
                  <c:v>569.06277141249689</c:v>
                </c:pt>
                <c:pt idx="3">
                  <c:v>619.06306901000403</c:v>
                </c:pt>
                <c:pt idx="4">
                  <c:v>604.09581952965937</c:v>
                </c:pt>
                <c:pt idx="5">
                  <c:v>635.25333858653096</c:v>
                </c:pt>
                <c:pt idx="6">
                  <c:v>627.19728726424876</c:v>
                </c:pt>
                <c:pt idx="7">
                  <c:v>647.6354639658764</c:v>
                </c:pt>
                <c:pt idx="8">
                  <c:v>658.90505651067485</c:v>
                </c:pt>
                <c:pt idx="9">
                  <c:v>672.2714357842442</c:v>
                </c:pt>
                <c:pt idx="10">
                  <c:v>641.26058900496503</c:v>
                </c:pt>
                <c:pt idx="11">
                  <c:v>608.87480395775731</c:v>
                </c:pt>
                <c:pt idx="12">
                  <c:v>648.53940829497128</c:v>
                </c:pt>
                <c:pt idx="13">
                  <c:v>655.19029629534634</c:v>
                </c:pt>
                <c:pt idx="14">
                  <c:v>660.9527051217558</c:v>
                </c:pt>
                <c:pt idx="15">
                  <c:v>664.2521664369774</c:v>
                </c:pt>
                <c:pt idx="16">
                  <c:v>667.2276528268028</c:v>
                </c:pt>
                <c:pt idx="17">
                  <c:v>669.97369459208915</c:v>
                </c:pt>
                <c:pt idx="18">
                  <c:v>672.75037915264795</c:v>
                </c:pt>
                <c:pt idx="19">
                  <c:v>675.54644900193466</c:v>
                </c:pt>
                <c:pt idx="20">
                  <c:v>678.66041883834669</c:v>
                </c:pt>
                <c:pt idx="21">
                  <c:v>681.74709386871837</c:v>
                </c:pt>
                <c:pt idx="22">
                  <c:v>684.88510644389112</c:v>
                </c:pt>
                <c:pt idx="23">
                  <c:v>688.0981206120797</c:v>
                </c:pt>
                <c:pt idx="24">
                  <c:v>691.28804201646358</c:v>
                </c:pt>
                <c:pt idx="25">
                  <c:v>693.86284553455664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140.50730034367251</c:v>
                </c:pt>
                <c:pt idx="1">
                  <c:v>139.34296602562299</c:v>
                </c:pt>
                <c:pt idx="2">
                  <c:v>146.17676887294849</c:v>
                </c:pt>
                <c:pt idx="3">
                  <c:v>144.53357406609857</c:v>
                </c:pt>
                <c:pt idx="4">
                  <c:v>154.44171313755561</c:v>
                </c:pt>
                <c:pt idx="5">
                  <c:v>151.81590298912073</c:v>
                </c:pt>
                <c:pt idx="6">
                  <c:v>160.78214285584394</c:v>
                </c:pt>
                <c:pt idx="7">
                  <c:v>158.65302516791979</c:v>
                </c:pt>
                <c:pt idx="8">
                  <c:v>155.43269335482111</c:v>
                </c:pt>
                <c:pt idx="9">
                  <c:v>152.21409209239607</c:v>
                </c:pt>
                <c:pt idx="10">
                  <c:v>159.86246551235334</c:v>
                </c:pt>
                <c:pt idx="11">
                  <c:v>181.33990602980714</c:v>
                </c:pt>
                <c:pt idx="12">
                  <c:v>168.0488130374751</c:v>
                </c:pt>
                <c:pt idx="13">
                  <c:v>171.18936847150857</c:v>
                </c:pt>
                <c:pt idx="14">
                  <c:v>174.08590353001509</c:v>
                </c:pt>
                <c:pt idx="15">
                  <c:v>176.33950915990192</c:v>
                </c:pt>
                <c:pt idx="16">
                  <c:v>178.6101397632481</c:v>
                </c:pt>
                <c:pt idx="17">
                  <c:v>180.87306926485721</c:v>
                </c:pt>
                <c:pt idx="18">
                  <c:v>183.12088254581397</c:v>
                </c:pt>
                <c:pt idx="19">
                  <c:v>185.37867785967524</c:v>
                </c:pt>
                <c:pt idx="20">
                  <c:v>187.78526964273755</c:v>
                </c:pt>
                <c:pt idx="21" formatCode="General">
                  <c:v>190.20812676977783</c:v>
                </c:pt>
                <c:pt idx="22" formatCode="General">
                  <c:v>192.66477350543173</c:v>
                </c:pt>
                <c:pt idx="23" formatCode="General">
                  <c:v>195.36237951456789</c:v>
                </c:pt>
                <c:pt idx="24" formatCode="General">
                  <c:v>198.13295625500243</c:v>
                </c:pt>
                <c:pt idx="25">
                  <c:v>200.54900732775172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165.74641915512726</c:v>
                </c:pt>
                <c:pt idx="1">
                  <c:v>164.05264579877155</c:v>
                </c:pt>
                <c:pt idx="2">
                  <c:v>165.09660529187477</c:v>
                </c:pt>
                <c:pt idx="3">
                  <c:v>173.26759633822189</c:v>
                </c:pt>
                <c:pt idx="4">
                  <c:v>174.3577996667716</c:v>
                </c:pt>
                <c:pt idx="5">
                  <c:v>166.10502830185317</c:v>
                </c:pt>
                <c:pt idx="6">
                  <c:v>170.01594680337209</c:v>
                </c:pt>
                <c:pt idx="7">
                  <c:v>166.97310345977763</c:v>
                </c:pt>
                <c:pt idx="8">
                  <c:v>163.40291548947474</c:v>
                </c:pt>
                <c:pt idx="9">
                  <c:v>151.32540199834628</c:v>
                </c:pt>
                <c:pt idx="10">
                  <c:v>159.48966179180348</c:v>
                </c:pt>
                <c:pt idx="11">
                  <c:v>175.37707272846561</c:v>
                </c:pt>
                <c:pt idx="12">
                  <c:v>162.96301489806922</c:v>
                </c:pt>
                <c:pt idx="13">
                  <c:v>164.82100791255729</c:v>
                </c:pt>
                <c:pt idx="14">
                  <c:v>166.66149168982923</c:v>
                </c:pt>
                <c:pt idx="15">
                  <c:v>167.91953768433783</c:v>
                </c:pt>
                <c:pt idx="16">
                  <c:v>169.18807386373126</c:v>
                </c:pt>
                <c:pt idx="17">
                  <c:v>170.57799468391283</c:v>
                </c:pt>
                <c:pt idx="18">
                  <c:v>172.16797124937628</c:v>
                </c:pt>
                <c:pt idx="19">
                  <c:v>173.95098585028146</c:v>
                </c:pt>
                <c:pt idx="20">
                  <c:v>175.88874632734857</c:v>
                </c:pt>
                <c:pt idx="21" formatCode="General">
                  <c:v>177.92588352654721</c:v>
                </c:pt>
                <c:pt idx="22" formatCode="General">
                  <c:v>180.17717080243881</c:v>
                </c:pt>
                <c:pt idx="23" formatCode="General">
                  <c:v>182.40332746252582</c:v>
                </c:pt>
                <c:pt idx="24" formatCode="General">
                  <c:v>184.4089724738547</c:v>
                </c:pt>
                <c:pt idx="25">
                  <c:v>186.36959050016733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423.39937869774974</c:v>
                </c:pt>
                <c:pt idx="1">
                  <c:v>444.56738434470651</c:v>
                </c:pt>
                <c:pt idx="2">
                  <c:v>465.26209738144274</c:v>
                </c:pt>
                <c:pt idx="3">
                  <c:v>490.10313215921445</c:v>
                </c:pt>
                <c:pt idx="4">
                  <c:v>517.68238984995742</c:v>
                </c:pt>
                <c:pt idx="5">
                  <c:v>522.05844291683695</c:v>
                </c:pt>
                <c:pt idx="6">
                  <c:v>548.91921226570128</c:v>
                </c:pt>
                <c:pt idx="7">
                  <c:v>551.20784962427217</c:v>
                </c:pt>
                <c:pt idx="8">
                  <c:v>554.41485019973197</c:v>
                </c:pt>
                <c:pt idx="9">
                  <c:v>542.26972022748396</c:v>
                </c:pt>
                <c:pt idx="10">
                  <c:v>569.67034480156542</c:v>
                </c:pt>
                <c:pt idx="11">
                  <c:v>639.85502106918591</c:v>
                </c:pt>
                <c:pt idx="12">
                  <c:v>605.75158628187046</c:v>
                </c:pt>
                <c:pt idx="13">
                  <c:v>618.5222830054845</c:v>
                </c:pt>
                <c:pt idx="14">
                  <c:v>630.46478624106919</c:v>
                </c:pt>
                <c:pt idx="15">
                  <c:v>640.12110870664571</c:v>
                </c:pt>
                <c:pt idx="16">
                  <c:v>649.31505831789173</c:v>
                </c:pt>
                <c:pt idx="17">
                  <c:v>658.13807726728805</c:v>
                </c:pt>
                <c:pt idx="18">
                  <c:v>666.88584086563412</c:v>
                </c:pt>
                <c:pt idx="19">
                  <c:v>675.53668116385677</c:v>
                </c:pt>
                <c:pt idx="20">
                  <c:v>684.43690388180175</c:v>
                </c:pt>
                <c:pt idx="21" formatCode="General">
                  <c:v>693.26651901552214</c:v>
                </c:pt>
                <c:pt idx="22" formatCode="General">
                  <c:v>702.01230521331161</c:v>
                </c:pt>
                <c:pt idx="23" formatCode="General">
                  <c:v>710.74986782259066</c:v>
                </c:pt>
                <c:pt idx="24" formatCode="General">
                  <c:v>719.6975483642467</c:v>
                </c:pt>
                <c:pt idx="25" formatCode="General">
                  <c:v>728.25370570102302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199.52780202907076</c:v>
                </c:pt>
                <c:pt idx="1">
                  <c:v>175.82825436301678</c:v>
                </c:pt>
                <c:pt idx="2">
                  <c:v>188.01585498407269</c:v>
                </c:pt>
                <c:pt idx="3">
                  <c:v>177.52750999607736</c:v>
                </c:pt>
                <c:pt idx="4">
                  <c:v>230.05758376639434</c:v>
                </c:pt>
                <c:pt idx="5">
                  <c:v>244.79959119353103</c:v>
                </c:pt>
                <c:pt idx="6">
                  <c:v>256.90036590425342</c:v>
                </c:pt>
                <c:pt idx="7">
                  <c:v>299.77468004919103</c:v>
                </c:pt>
                <c:pt idx="8">
                  <c:v>292.48003309786344</c:v>
                </c:pt>
                <c:pt idx="9">
                  <c:v>322.05086189838062</c:v>
                </c:pt>
                <c:pt idx="10">
                  <c:v>327.95542549331373</c:v>
                </c:pt>
                <c:pt idx="11">
                  <c:v>333.24161875821062</c:v>
                </c:pt>
                <c:pt idx="12">
                  <c:v>367.12152202930451</c:v>
                </c:pt>
                <c:pt idx="13">
                  <c:v>388.09247802303304</c:v>
                </c:pt>
                <c:pt idx="14">
                  <c:v>408.93367749897402</c:v>
                </c:pt>
                <c:pt idx="15">
                  <c:v>428.57213033934653</c:v>
                </c:pt>
                <c:pt idx="16">
                  <c:v>448.26063142209807</c:v>
                </c:pt>
                <c:pt idx="17">
                  <c:v>468.05006548104382</c:v>
                </c:pt>
                <c:pt idx="18">
                  <c:v>488.059129572112</c:v>
                </c:pt>
                <c:pt idx="19">
                  <c:v>508.33354086192122</c:v>
                </c:pt>
                <c:pt idx="20">
                  <c:v>529.10388500113879</c:v>
                </c:pt>
                <c:pt idx="21" formatCode="General">
                  <c:v>550.12787299396211</c:v>
                </c:pt>
                <c:pt idx="22" formatCode="General">
                  <c:v>571.48707330368381</c:v>
                </c:pt>
                <c:pt idx="23" formatCode="General">
                  <c:v>593.21190658336604</c:v>
                </c:pt>
                <c:pt idx="24" formatCode="General">
                  <c:v>615.21330699316798</c:v>
                </c:pt>
                <c:pt idx="25" formatCode="General">
                  <c:v>636.98770723168047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28.346316832177028</c:v>
                </c:pt>
                <c:pt idx="1">
                  <c:v>26.069832091920681</c:v>
                </c:pt>
                <c:pt idx="2">
                  <c:v>27.280992738552829</c:v>
                </c:pt>
                <c:pt idx="3">
                  <c:v>27.067242948906532</c:v>
                </c:pt>
                <c:pt idx="4">
                  <c:v>34.048811401632115</c:v>
                </c:pt>
                <c:pt idx="5">
                  <c:v>36.756242917957152</c:v>
                </c:pt>
                <c:pt idx="6">
                  <c:v>37.689162333494998</c:v>
                </c:pt>
                <c:pt idx="7">
                  <c:v>44.595184050031769</c:v>
                </c:pt>
                <c:pt idx="8">
                  <c:v>43.55976716185841</c:v>
                </c:pt>
                <c:pt idx="9">
                  <c:v>48.026875781215693</c:v>
                </c:pt>
                <c:pt idx="10">
                  <c:v>47.134788614306871</c:v>
                </c:pt>
                <c:pt idx="11">
                  <c:v>48.136979317601281</c:v>
                </c:pt>
                <c:pt idx="12">
                  <c:v>53.343350988989542</c:v>
                </c:pt>
                <c:pt idx="13">
                  <c:v>56.292969500085391</c:v>
                </c:pt>
                <c:pt idx="14">
                  <c:v>59.25877974192813</c:v>
                </c:pt>
                <c:pt idx="15">
                  <c:v>62.055867743673161</c:v>
                </c:pt>
                <c:pt idx="16">
                  <c:v>64.845086330684822</c:v>
                </c:pt>
                <c:pt idx="17">
                  <c:v>67.644210788474027</c:v>
                </c:pt>
                <c:pt idx="18">
                  <c:v>70.525016554657412</c:v>
                </c:pt>
                <c:pt idx="19">
                  <c:v>73.444153304689223</c:v>
                </c:pt>
                <c:pt idx="20">
                  <c:v>76.43605263393367</c:v>
                </c:pt>
                <c:pt idx="21" formatCode="General">
                  <c:v>79.466088273958306</c:v>
                </c:pt>
                <c:pt idx="22" formatCode="General">
                  <c:v>82.527854517932795</c:v>
                </c:pt>
                <c:pt idx="23" formatCode="General">
                  <c:v>85.62551833890177</c:v>
                </c:pt>
                <c:pt idx="24" formatCode="General">
                  <c:v>88.764555830105067</c:v>
                </c:pt>
                <c:pt idx="25" formatCode="General">
                  <c:v>91.885931833206627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124.50535454576475</c:v>
                </c:pt>
                <c:pt idx="1">
                  <c:v>153.27558398731006</c:v>
                </c:pt>
                <c:pt idx="2">
                  <c:v>115.79615755867668</c:v>
                </c:pt>
                <c:pt idx="3">
                  <c:v>119.1548532521779</c:v>
                </c:pt>
                <c:pt idx="4">
                  <c:v>115.32165922829526</c:v>
                </c:pt>
                <c:pt idx="5">
                  <c:v>93.103034115447088</c:v>
                </c:pt>
                <c:pt idx="6">
                  <c:v>93.030449010399593</c:v>
                </c:pt>
                <c:pt idx="7">
                  <c:v>87.589366445318888</c:v>
                </c:pt>
                <c:pt idx="8">
                  <c:v>95.734648745967618</c:v>
                </c:pt>
                <c:pt idx="9">
                  <c:v>85.023328126993917</c:v>
                </c:pt>
                <c:pt idx="10">
                  <c:v>103.00883345360943</c:v>
                </c:pt>
                <c:pt idx="11">
                  <c:v>96.35671476321717</c:v>
                </c:pt>
                <c:pt idx="12">
                  <c:v>84.322540016572475</c:v>
                </c:pt>
                <c:pt idx="13">
                  <c:v>81.558339622081405</c:v>
                </c:pt>
                <c:pt idx="14">
                  <c:v>78.58944361645807</c:v>
                </c:pt>
                <c:pt idx="15">
                  <c:v>76.928707164782253</c:v>
                </c:pt>
                <c:pt idx="16">
                  <c:v>75.317860913949048</c:v>
                </c:pt>
                <c:pt idx="17">
                  <c:v>73.541235144400943</c:v>
                </c:pt>
                <c:pt idx="18">
                  <c:v>71.633736106328868</c:v>
                </c:pt>
                <c:pt idx="19">
                  <c:v>69.590371435782245</c:v>
                </c:pt>
                <c:pt idx="20">
                  <c:v>67.444176603343934</c:v>
                </c:pt>
                <c:pt idx="21">
                  <c:v>65.15370322109284</c:v>
                </c:pt>
                <c:pt idx="22">
                  <c:v>62.726874934539829</c:v>
                </c:pt>
                <c:pt idx="23">
                  <c:v>60.163674768082494</c:v>
                </c:pt>
                <c:pt idx="24">
                  <c:v>57.658701053119515</c:v>
                </c:pt>
                <c:pt idx="25">
                  <c:v>58.02500358165338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418.99464645491975</c:v>
                </c:pt>
                <c:pt idx="1">
                  <c:v>393.38186628434511</c:v>
                </c:pt>
                <c:pt idx="2">
                  <c:v>383.69224353502261</c:v>
                </c:pt>
                <c:pt idx="3">
                  <c:v>367.1045041807439</c:v>
                </c:pt>
                <c:pt idx="4">
                  <c:v>399.65311538756185</c:v>
                </c:pt>
                <c:pt idx="5">
                  <c:v>350.50715207300198</c:v>
                </c:pt>
                <c:pt idx="6">
                  <c:v>394.95577816875124</c:v>
                </c:pt>
                <c:pt idx="7">
                  <c:v>354.62188144654402</c:v>
                </c:pt>
                <c:pt idx="8">
                  <c:v>377.22044106664777</c:v>
                </c:pt>
                <c:pt idx="9">
                  <c:v>404.26982468985273</c:v>
                </c:pt>
                <c:pt idx="10">
                  <c:v>366.97985469794963</c:v>
                </c:pt>
                <c:pt idx="11">
                  <c:v>332.78423787743321</c:v>
                </c:pt>
                <c:pt idx="12">
                  <c:v>349.34845348343913</c:v>
                </c:pt>
                <c:pt idx="13">
                  <c:v>345.17595859253674</c:v>
                </c:pt>
                <c:pt idx="14">
                  <c:v>340.0670778274856</c:v>
                </c:pt>
                <c:pt idx="15">
                  <c:v>333.26478368454997</c:v>
                </c:pt>
                <c:pt idx="16">
                  <c:v>325.90855704877367</c:v>
                </c:pt>
                <c:pt idx="17">
                  <c:v>318.03532783441665</c:v>
                </c:pt>
                <c:pt idx="18">
                  <c:v>309.77257478520181</c:v>
                </c:pt>
                <c:pt idx="19">
                  <c:v>301.10195549100519</c:v>
                </c:pt>
                <c:pt idx="20">
                  <c:v>292.14921259000545</c:v>
                </c:pt>
                <c:pt idx="21">
                  <c:v>282.74131708274882</c:v>
                </c:pt>
                <c:pt idx="22">
                  <c:v>272.9036326287183</c:v>
                </c:pt>
                <c:pt idx="23">
                  <c:v>262.6318352075312</c:v>
                </c:pt>
                <c:pt idx="24">
                  <c:v>251.87207252376129</c:v>
                </c:pt>
                <c:pt idx="25">
                  <c:v>240.34462131676767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580.12620452551687</c:v>
                </c:pt>
                <c:pt idx="1">
                  <c:v>603.50985597383715</c:v>
                </c:pt>
                <c:pt idx="2">
                  <c:v>611.43250822675066</c:v>
                </c:pt>
                <c:pt idx="3">
                  <c:v>599.79051804885705</c:v>
                </c:pt>
                <c:pt idx="4">
                  <c:v>593.72310803007861</c:v>
                </c:pt>
                <c:pt idx="5">
                  <c:v>617.45326690283457</c:v>
                </c:pt>
                <c:pt idx="6">
                  <c:v>571.99965539276297</c:v>
                </c:pt>
                <c:pt idx="7">
                  <c:v>589.09544579004421</c:v>
                </c:pt>
                <c:pt idx="8">
                  <c:v>594.06159437282031</c:v>
                </c:pt>
                <c:pt idx="9">
                  <c:v>584.65545940073844</c:v>
                </c:pt>
                <c:pt idx="10">
                  <c:v>554.22503662659665</c:v>
                </c:pt>
                <c:pt idx="11">
                  <c:v>530.46564549654829</c:v>
                </c:pt>
                <c:pt idx="12">
                  <c:v>534.48631096405427</c:v>
                </c:pt>
                <c:pt idx="13">
                  <c:v>527.31929857127386</c:v>
                </c:pt>
                <c:pt idx="14">
                  <c:v>519.27713472616858</c:v>
                </c:pt>
                <c:pt idx="15">
                  <c:v>509.20118907411359</c:v>
                </c:pt>
                <c:pt idx="16">
                  <c:v>498.8339395073354</c:v>
                </c:pt>
                <c:pt idx="17">
                  <c:v>488.26232493881196</c:v>
                </c:pt>
                <c:pt idx="18">
                  <c:v>477.68546916219225</c:v>
                </c:pt>
                <c:pt idx="19">
                  <c:v>467.09318502576826</c:v>
                </c:pt>
                <c:pt idx="20">
                  <c:v>456.68833447602395</c:v>
                </c:pt>
                <c:pt idx="21">
                  <c:v>446.22539524240517</c:v>
                </c:pt>
                <c:pt idx="22">
                  <c:v>435.7572086445515</c:v>
                </c:pt>
                <c:pt idx="23">
                  <c:v>425.29536968517408</c:v>
                </c:pt>
                <c:pt idx="24">
                  <c:v>414.77484448299077</c:v>
                </c:pt>
                <c:pt idx="25">
                  <c:v>403.81458697048708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593.56557741741813</c:v>
                </c:pt>
                <c:pt idx="1">
                  <c:v>559.82361113099614</c:v>
                </c:pt>
                <c:pt idx="2">
                  <c:v>569.06277141249689</c:v>
                </c:pt>
                <c:pt idx="3">
                  <c:v>619.06306901000403</c:v>
                </c:pt>
                <c:pt idx="4">
                  <c:v>604.09581952965937</c:v>
                </c:pt>
                <c:pt idx="5">
                  <c:v>635.25333858653096</c:v>
                </c:pt>
                <c:pt idx="6">
                  <c:v>627.19728726424876</c:v>
                </c:pt>
                <c:pt idx="7">
                  <c:v>647.6354639658764</c:v>
                </c:pt>
                <c:pt idx="8">
                  <c:v>658.90505651067485</c:v>
                </c:pt>
                <c:pt idx="9">
                  <c:v>672.2714357842442</c:v>
                </c:pt>
                <c:pt idx="10">
                  <c:v>641.26058900496503</c:v>
                </c:pt>
                <c:pt idx="11">
                  <c:v>608.87480395775731</c:v>
                </c:pt>
                <c:pt idx="12">
                  <c:v>648.53940829497128</c:v>
                </c:pt>
                <c:pt idx="13">
                  <c:v>655.19029629534634</c:v>
                </c:pt>
                <c:pt idx="14">
                  <c:v>660.9527051217558</c:v>
                </c:pt>
                <c:pt idx="15">
                  <c:v>664.2521664369774</c:v>
                </c:pt>
                <c:pt idx="16">
                  <c:v>667.2276528268028</c:v>
                </c:pt>
                <c:pt idx="17">
                  <c:v>669.97369459208915</c:v>
                </c:pt>
                <c:pt idx="18">
                  <c:v>672.75037915264795</c:v>
                </c:pt>
                <c:pt idx="19">
                  <c:v>675.54644900193466</c:v>
                </c:pt>
                <c:pt idx="20">
                  <c:v>678.66041883834669</c:v>
                </c:pt>
                <c:pt idx="21">
                  <c:v>681.74709386871837</c:v>
                </c:pt>
                <c:pt idx="22">
                  <c:v>684.88510644389112</c:v>
                </c:pt>
                <c:pt idx="23">
                  <c:v>688.0981206120797</c:v>
                </c:pt>
                <c:pt idx="24">
                  <c:v>691.28804201646358</c:v>
                </c:pt>
                <c:pt idx="25">
                  <c:v>693.86284553455664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140.50730034367251</c:v>
                </c:pt>
                <c:pt idx="1">
                  <c:v>139.34296602562299</c:v>
                </c:pt>
                <c:pt idx="2">
                  <c:v>146.17676887294849</c:v>
                </c:pt>
                <c:pt idx="3">
                  <c:v>144.53357406609857</c:v>
                </c:pt>
                <c:pt idx="4">
                  <c:v>154.44171313755561</c:v>
                </c:pt>
                <c:pt idx="5">
                  <c:v>151.81590298912073</c:v>
                </c:pt>
                <c:pt idx="6">
                  <c:v>160.78214285584394</c:v>
                </c:pt>
                <c:pt idx="7">
                  <c:v>158.65302516791979</c:v>
                </c:pt>
                <c:pt idx="8">
                  <c:v>155.43269335482111</c:v>
                </c:pt>
                <c:pt idx="9">
                  <c:v>152.21409209239607</c:v>
                </c:pt>
                <c:pt idx="10">
                  <c:v>159.86246551235334</c:v>
                </c:pt>
                <c:pt idx="11">
                  <c:v>181.33990602980714</c:v>
                </c:pt>
                <c:pt idx="12">
                  <c:v>168.0488130374751</c:v>
                </c:pt>
                <c:pt idx="13">
                  <c:v>171.18936847150857</c:v>
                </c:pt>
                <c:pt idx="14">
                  <c:v>174.08590353001509</c:v>
                </c:pt>
                <c:pt idx="15">
                  <c:v>176.33950915990192</c:v>
                </c:pt>
                <c:pt idx="16">
                  <c:v>178.6101397632481</c:v>
                </c:pt>
                <c:pt idx="17">
                  <c:v>180.87306926485721</c:v>
                </c:pt>
                <c:pt idx="18">
                  <c:v>183.12088254581397</c:v>
                </c:pt>
                <c:pt idx="19">
                  <c:v>185.37867785967524</c:v>
                </c:pt>
                <c:pt idx="20">
                  <c:v>187.78526964273755</c:v>
                </c:pt>
                <c:pt idx="21" formatCode="General">
                  <c:v>190.20812676977783</c:v>
                </c:pt>
                <c:pt idx="22" formatCode="General">
                  <c:v>192.66477350543173</c:v>
                </c:pt>
                <c:pt idx="23" formatCode="General">
                  <c:v>195.36237951456789</c:v>
                </c:pt>
                <c:pt idx="24" formatCode="General">
                  <c:v>198.13295625500243</c:v>
                </c:pt>
                <c:pt idx="25">
                  <c:v>200.54900732775172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165.74641915512726</c:v>
                </c:pt>
                <c:pt idx="1">
                  <c:v>164.05264579877155</c:v>
                </c:pt>
                <c:pt idx="2">
                  <c:v>165.09660529187477</c:v>
                </c:pt>
                <c:pt idx="3">
                  <c:v>173.26759633822189</c:v>
                </c:pt>
                <c:pt idx="4">
                  <c:v>174.3577996667716</c:v>
                </c:pt>
                <c:pt idx="5">
                  <c:v>166.10502830185317</c:v>
                </c:pt>
                <c:pt idx="6">
                  <c:v>170.01594680337209</c:v>
                </c:pt>
                <c:pt idx="7">
                  <c:v>166.97310345977763</c:v>
                </c:pt>
                <c:pt idx="8">
                  <c:v>163.40291548947474</c:v>
                </c:pt>
                <c:pt idx="9">
                  <c:v>151.32540199834628</c:v>
                </c:pt>
                <c:pt idx="10">
                  <c:v>159.48966179180348</c:v>
                </c:pt>
                <c:pt idx="11">
                  <c:v>175.37707272846561</c:v>
                </c:pt>
                <c:pt idx="12">
                  <c:v>162.96301489806922</c:v>
                </c:pt>
                <c:pt idx="13">
                  <c:v>164.82100791255729</c:v>
                </c:pt>
                <c:pt idx="14">
                  <c:v>166.66149168982923</c:v>
                </c:pt>
                <c:pt idx="15">
                  <c:v>167.91953768433783</c:v>
                </c:pt>
                <c:pt idx="16">
                  <c:v>169.18807386373126</c:v>
                </c:pt>
                <c:pt idx="17">
                  <c:v>170.57799468391283</c:v>
                </c:pt>
                <c:pt idx="18">
                  <c:v>172.16797124937628</c:v>
                </c:pt>
                <c:pt idx="19">
                  <c:v>173.95098585028146</c:v>
                </c:pt>
                <c:pt idx="20">
                  <c:v>175.88874632734857</c:v>
                </c:pt>
                <c:pt idx="21" formatCode="General">
                  <c:v>177.92588352654721</c:v>
                </c:pt>
                <c:pt idx="22" formatCode="General">
                  <c:v>180.17717080243881</c:v>
                </c:pt>
                <c:pt idx="23" formatCode="General">
                  <c:v>182.40332746252582</c:v>
                </c:pt>
                <c:pt idx="24" formatCode="General">
                  <c:v>184.4089724738547</c:v>
                </c:pt>
                <c:pt idx="25">
                  <c:v>186.36959050016733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423.39937869774974</c:v>
                </c:pt>
                <c:pt idx="1">
                  <c:v>444.56738434470651</c:v>
                </c:pt>
                <c:pt idx="2">
                  <c:v>465.26209738144274</c:v>
                </c:pt>
                <c:pt idx="3">
                  <c:v>490.10313215921445</c:v>
                </c:pt>
                <c:pt idx="4">
                  <c:v>517.68238984995742</c:v>
                </c:pt>
                <c:pt idx="5">
                  <c:v>522.05844291683695</c:v>
                </c:pt>
                <c:pt idx="6">
                  <c:v>548.91921226570128</c:v>
                </c:pt>
                <c:pt idx="7">
                  <c:v>551.20784962427217</c:v>
                </c:pt>
                <c:pt idx="8">
                  <c:v>554.41485019973197</c:v>
                </c:pt>
                <c:pt idx="9">
                  <c:v>542.26972022748396</c:v>
                </c:pt>
                <c:pt idx="10">
                  <c:v>569.67034480156542</c:v>
                </c:pt>
                <c:pt idx="11">
                  <c:v>639.85502106918591</c:v>
                </c:pt>
                <c:pt idx="12">
                  <c:v>605.75158628187046</c:v>
                </c:pt>
                <c:pt idx="13">
                  <c:v>618.5222830054845</c:v>
                </c:pt>
                <c:pt idx="14">
                  <c:v>630.46478624106919</c:v>
                </c:pt>
                <c:pt idx="15">
                  <c:v>640.12110870664571</c:v>
                </c:pt>
                <c:pt idx="16">
                  <c:v>649.31505831789173</c:v>
                </c:pt>
                <c:pt idx="17">
                  <c:v>658.13807726728805</c:v>
                </c:pt>
                <c:pt idx="18">
                  <c:v>666.88584086563412</c:v>
                </c:pt>
                <c:pt idx="19">
                  <c:v>675.53668116385677</c:v>
                </c:pt>
                <c:pt idx="20">
                  <c:v>684.43690388180175</c:v>
                </c:pt>
                <c:pt idx="21" formatCode="General">
                  <c:v>693.26651901552214</c:v>
                </c:pt>
                <c:pt idx="22" formatCode="General">
                  <c:v>702.01230521331161</c:v>
                </c:pt>
                <c:pt idx="23" formatCode="General">
                  <c:v>710.74986782259066</c:v>
                </c:pt>
                <c:pt idx="24" formatCode="General">
                  <c:v>719.6975483642467</c:v>
                </c:pt>
                <c:pt idx="25" formatCode="General">
                  <c:v>728.25370570102302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199.52780202907076</c:v>
                </c:pt>
                <c:pt idx="1">
                  <c:v>175.82825436301678</c:v>
                </c:pt>
                <c:pt idx="2">
                  <c:v>188.01585498407269</c:v>
                </c:pt>
                <c:pt idx="3">
                  <c:v>177.52750999607736</c:v>
                </c:pt>
                <c:pt idx="4">
                  <c:v>230.05758376639434</c:v>
                </c:pt>
                <c:pt idx="5">
                  <c:v>244.79959119353103</c:v>
                </c:pt>
                <c:pt idx="6">
                  <c:v>256.90036590425342</c:v>
                </c:pt>
                <c:pt idx="7">
                  <c:v>299.77468004919103</c:v>
                </c:pt>
                <c:pt idx="8">
                  <c:v>292.48003309786344</c:v>
                </c:pt>
                <c:pt idx="9">
                  <c:v>322.05086189838062</c:v>
                </c:pt>
                <c:pt idx="10">
                  <c:v>327.95542549331373</c:v>
                </c:pt>
                <c:pt idx="11">
                  <c:v>333.24161875821062</c:v>
                </c:pt>
                <c:pt idx="12">
                  <c:v>367.12152202930451</c:v>
                </c:pt>
                <c:pt idx="13">
                  <c:v>388.09247802303304</c:v>
                </c:pt>
                <c:pt idx="14">
                  <c:v>408.93367749897402</c:v>
                </c:pt>
                <c:pt idx="15">
                  <c:v>428.57213033934653</c:v>
                </c:pt>
                <c:pt idx="16">
                  <c:v>448.26063142209807</c:v>
                </c:pt>
                <c:pt idx="17">
                  <c:v>468.05006548104382</c:v>
                </c:pt>
                <c:pt idx="18">
                  <c:v>488.059129572112</c:v>
                </c:pt>
                <c:pt idx="19">
                  <c:v>508.33354086192122</c:v>
                </c:pt>
                <c:pt idx="20">
                  <c:v>529.10388500113879</c:v>
                </c:pt>
                <c:pt idx="21" formatCode="General">
                  <c:v>550.12787299396211</c:v>
                </c:pt>
                <c:pt idx="22" formatCode="General">
                  <c:v>571.48707330368381</c:v>
                </c:pt>
                <c:pt idx="23" formatCode="General">
                  <c:v>593.21190658336604</c:v>
                </c:pt>
                <c:pt idx="24" formatCode="General">
                  <c:v>615.21330699316798</c:v>
                </c:pt>
                <c:pt idx="25" formatCode="General">
                  <c:v>636.98770723168047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28.346316832177028</c:v>
                </c:pt>
                <c:pt idx="1">
                  <c:v>26.069832091920681</c:v>
                </c:pt>
                <c:pt idx="2">
                  <c:v>27.280992738552829</c:v>
                </c:pt>
                <c:pt idx="3">
                  <c:v>27.067242948906532</c:v>
                </c:pt>
                <c:pt idx="4">
                  <c:v>34.048811401632115</c:v>
                </c:pt>
                <c:pt idx="5">
                  <c:v>36.756242917957152</c:v>
                </c:pt>
                <c:pt idx="6">
                  <c:v>37.689162333494998</c:v>
                </c:pt>
                <c:pt idx="7">
                  <c:v>44.595184050031769</c:v>
                </c:pt>
                <c:pt idx="8">
                  <c:v>43.55976716185841</c:v>
                </c:pt>
                <c:pt idx="9">
                  <c:v>48.026875781215693</c:v>
                </c:pt>
                <c:pt idx="10">
                  <c:v>47.134788614306871</c:v>
                </c:pt>
                <c:pt idx="11">
                  <c:v>48.136979317601281</c:v>
                </c:pt>
                <c:pt idx="12">
                  <c:v>53.343350988989542</c:v>
                </c:pt>
                <c:pt idx="13">
                  <c:v>56.292969500085391</c:v>
                </c:pt>
                <c:pt idx="14">
                  <c:v>59.25877974192813</c:v>
                </c:pt>
                <c:pt idx="15">
                  <c:v>62.055867743673161</c:v>
                </c:pt>
                <c:pt idx="16">
                  <c:v>64.845086330684822</c:v>
                </c:pt>
                <c:pt idx="17">
                  <c:v>67.644210788474027</c:v>
                </c:pt>
                <c:pt idx="18">
                  <c:v>70.525016554657412</c:v>
                </c:pt>
                <c:pt idx="19">
                  <c:v>73.444153304689223</c:v>
                </c:pt>
                <c:pt idx="20">
                  <c:v>76.43605263393367</c:v>
                </c:pt>
                <c:pt idx="21" formatCode="General">
                  <c:v>79.466088273958306</c:v>
                </c:pt>
                <c:pt idx="22" formatCode="General">
                  <c:v>82.527854517932795</c:v>
                </c:pt>
                <c:pt idx="23" formatCode="General">
                  <c:v>85.62551833890177</c:v>
                </c:pt>
                <c:pt idx="24" formatCode="General">
                  <c:v>88.764555830105067</c:v>
                </c:pt>
                <c:pt idx="25" formatCode="General">
                  <c:v>91.885931833206627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178.28774463132186</c:v>
                </c:pt>
                <c:pt idx="1">
                  <c:v>103.43021572953465</c:v>
                </c:pt>
                <c:pt idx="2">
                  <c:v>147.35087953346306</c:v>
                </c:pt>
                <c:pt idx="3">
                  <c:v>123.14430616433667</c:v>
                </c:pt>
                <c:pt idx="4">
                  <c:v>131.96078482642613</c:v>
                </c:pt>
                <c:pt idx="5">
                  <c:v>153.3672600969031</c:v>
                </c:pt>
                <c:pt idx="6">
                  <c:v>43.995185541434438</c:v>
                </c:pt>
                <c:pt idx="7">
                  <c:v>54.70334863148971</c:v>
                </c:pt>
                <c:pt idx="8">
                  <c:v>18.918456756356868</c:v>
                </c:pt>
                <c:pt idx="9">
                  <c:v>57.633479740380658</c:v>
                </c:pt>
                <c:pt idx="10">
                  <c:v>156.95041475761286</c:v>
                </c:pt>
                <c:pt idx="11">
                  <c:v>230.65190493606553</c:v>
                </c:pt>
                <c:pt idx="12">
                  <c:v>59.576249167735241</c:v>
                </c:pt>
                <c:pt idx="13">
                  <c:v>41.074614853304986</c:v>
                </c:pt>
                <c:pt idx="14">
                  <c:v>119.78442551978591</c:v>
                </c:pt>
                <c:pt idx="15">
                  <c:v>111.7064966465005</c:v>
                </c:pt>
                <c:pt idx="16">
                  <c:v>59.378092512611914</c:v>
                </c:pt>
                <c:pt idx="17">
                  <c:v>226.34981501818203</c:v>
                </c:pt>
                <c:pt idx="18">
                  <c:v>61.407742014586113</c:v>
                </c:pt>
                <c:pt idx="19">
                  <c:v>2.3131508259259101</c:v>
                </c:pt>
                <c:pt idx="20">
                  <c:v>215.33943518586108</c:v>
                </c:pt>
                <c:pt idx="21">
                  <c:v>41.500878516960952</c:v>
                </c:pt>
                <c:pt idx="22">
                  <c:v>73.880158585249745</c:v>
                </c:pt>
                <c:pt idx="23">
                  <c:v>85.619333849694627</c:v>
                </c:pt>
                <c:pt idx="24">
                  <c:v>51.619419586461767</c:v>
                </c:pt>
                <c:pt idx="25">
                  <c:v>267.90820636892653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220.42416840586966</c:v>
                </c:pt>
                <c:pt idx="1">
                  <c:v>116.24748966700469</c:v>
                </c:pt>
                <c:pt idx="2">
                  <c:v>174.78975240588667</c:v>
                </c:pt>
                <c:pt idx="3">
                  <c:v>136.06688372711437</c:v>
                </c:pt>
                <c:pt idx="4">
                  <c:v>147.16638535201332</c:v>
                </c:pt>
                <c:pt idx="5">
                  <c:v>195.24119605405735</c:v>
                </c:pt>
                <c:pt idx="6">
                  <c:v>57.22704281714396</c:v>
                </c:pt>
                <c:pt idx="7">
                  <c:v>58.891200721634888</c:v>
                </c:pt>
                <c:pt idx="8">
                  <c:v>21.197229754485431</c:v>
                </c:pt>
                <c:pt idx="9">
                  <c:v>62.187444415764752</c:v>
                </c:pt>
                <c:pt idx="10">
                  <c:v>176.2464226534758</c:v>
                </c:pt>
                <c:pt idx="11">
                  <c:v>240.29715716047514</c:v>
                </c:pt>
                <c:pt idx="12">
                  <c:v>54.043742760928943</c:v>
                </c:pt>
                <c:pt idx="13">
                  <c:v>43.38976416600206</c:v>
                </c:pt>
                <c:pt idx="14">
                  <c:v>105.38577813988417</c:v>
                </c:pt>
                <c:pt idx="15">
                  <c:v>93.794072482198729</c:v>
                </c:pt>
                <c:pt idx="16">
                  <c:v>55.443570145470069</c:v>
                </c:pt>
                <c:pt idx="17">
                  <c:v>213.74995100728043</c:v>
                </c:pt>
                <c:pt idx="18">
                  <c:v>60.737895765777509</c:v>
                </c:pt>
                <c:pt idx="19">
                  <c:v>2.5974855797046024</c:v>
                </c:pt>
                <c:pt idx="20">
                  <c:v>205.71646638462903</c:v>
                </c:pt>
                <c:pt idx="21">
                  <c:v>47.713083005611892</c:v>
                </c:pt>
                <c:pt idx="22">
                  <c:v>62.582118755619781</c:v>
                </c:pt>
                <c:pt idx="23">
                  <c:v>82.153643253397007</c:v>
                </c:pt>
                <c:pt idx="24">
                  <c:v>41.169715797010497</c:v>
                </c:pt>
                <c:pt idx="25">
                  <c:v>255.12733961802351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228.60191583847305</c:v>
                </c:pt>
                <c:pt idx="1">
                  <c:v>165.54721327345115</c:v>
                </c:pt>
                <c:pt idx="2">
                  <c:v>209.54199786733972</c:v>
                </c:pt>
                <c:pt idx="3">
                  <c:v>175.96215290882705</c:v>
                </c:pt>
                <c:pt idx="4">
                  <c:v>172.55168775110647</c:v>
                </c:pt>
                <c:pt idx="5">
                  <c:v>252.27951137953681</c:v>
                </c:pt>
                <c:pt idx="6">
                  <c:v>54.695032844743452</c:v>
                </c:pt>
                <c:pt idx="7">
                  <c:v>70.358001501575828</c:v>
                </c:pt>
                <c:pt idx="8">
                  <c:v>29.961326346665203</c:v>
                </c:pt>
                <c:pt idx="9">
                  <c:v>75.861044003421796</c:v>
                </c:pt>
                <c:pt idx="10">
                  <c:v>180.73388845504215</c:v>
                </c:pt>
                <c:pt idx="11">
                  <c:v>210.08774549657949</c:v>
                </c:pt>
                <c:pt idx="12">
                  <c:v>51.542087035107386</c:v>
                </c:pt>
                <c:pt idx="13">
                  <c:v>47.518729761157019</c:v>
                </c:pt>
                <c:pt idx="14">
                  <c:v>101.33738383927199</c:v>
                </c:pt>
                <c:pt idx="15">
                  <c:v>103.36815417917676</c:v>
                </c:pt>
                <c:pt idx="16">
                  <c:v>54.266577337981488</c:v>
                </c:pt>
                <c:pt idx="17">
                  <c:v>261.37055548425388</c:v>
                </c:pt>
                <c:pt idx="18">
                  <c:v>72.595305939625703</c:v>
                </c:pt>
                <c:pt idx="19">
                  <c:v>2.1017933821101242</c:v>
                </c:pt>
                <c:pt idx="20">
                  <c:v>183.50111866544393</c:v>
                </c:pt>
                <c:pt idx="21">
                  <c:v>70.946426583313226</c:v>
                </c:pt>
                <c:pt idx="22">
                  <c:v>75.3654050728952</c:v>
                </c:pt>
                <c:pt idx="23">
                  <c:v>90.140369989187306</c:v>
                </c:pt>
                <c:pt idx="24">
                  <c:v>36.262160530619973</c:v>
                </c:pt>
                <c:pt idx="25">
                  <c:v>263.59541453038582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42.136423774547808</c:v>
                </c:pt>
                <c:pt idx="1">
                  <c:v>12.817273937470034</c:v>
                </c:pt>
                <c:pt idx="2">
                  <c:v>27.438872872423616</c:v>
                </c:pt>
                <c:pt idx="3">
                  <c:v>12.922577562777704</c:v>
                </c:pt>
                <c:pt idx="4">
                  <c:v>15.205600525587187</c:v>
                </c:pt>
                <c:pt idx="5">
                  <c:v>41.873935957154259</c:v>
                </c:pt>
                <c:pt idx="6">
                  <c:v>13.231857275709523</c:v>
                </c:pt>
                <c:pt idx="7">
                  <c:v>4.1878520901451779</c:v>
                </c:pt>
                <c:pt idx="8">
                  <c:v>2.2787729981285629</c:v>
                </c:pt>
                <c:pt idx="9">
                  <c:v>4.5539646753840941</c:v>
                </c:pt>
                <c:pt idx="10">
                  <c:v>19.296007895862942</c:v>
                </c:pt>
                <c:pt idx="11">
                  <c:v>9.6452522244096031</c:v>
                </c:pt>
                <c:pt idx="12">
                  <c:v>-5.5325064068062986</c:v>
                </c:pt>
                <c:pt idx="13">
                  <c:v>2.3151493126970735</c:v>
                </c:pt>
                <c:pt idx="14">
                  <c:v>-14.398647379901746</c:v>
                </c:pt>
                <c:pt idx="15">
                  <c:v>-17.912424164301768</c:v>
                </c:pt>
                <c:pt idx="16">
                  <c:v>-3.9345223671418452</c:v>
                </c:pt>
                <c:pt idx="17">
                  <c:v>-12.599864010901598</c:v>
                </c:pt>
                <c:pt idx="18">
                  <c:v>-0.66984624880860366</c:v>
                </c:pt>
                <c:pt idx="19">
                  <c:v>0.28433475377869222</c:v>
                </c:pt>
                <c:pt idx="20">
                  <c:v>-9.622968801232048</c:v>
                </c:pt>
                <c:pt idx="21">
                  <c:v>6.21220448865094</c:v>
                </c:pt>
                <c:pt idx="22">
                  <c:v>-11.298039829629964</c:v>
                </c:pt>
                <c:pt idx="23">
                  <c:v>-3.4656905962976197</c:v>
                </c:pt>
                <c:pt idx="24">
                  <c:v>-10.44970378945127</c:v>
                </c:pt>
                <c:pt idx="25">
                  <c:v>-12.780866750903016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8.1777474326033825</c:v>
                </c:pt>
                <c:pt idx="1">
                  <c:v>49.299723606446463</c:v>
                </c:pt>
                <c:pt idx="2">
                  <c:v>34.752245461453043</c:v>
                </c:pt>
                <c:pt idx="3">
                  <c:v>39.895269181712678</c:v>
                </c:pt>
                <c:pt idx="4">
                  <c:v>25.385302399093149</c:v>
                </c:pt>
                <c:pt idx="5">
                  <c:v>57.038315325479459</c:v>
                </c:pt>
                <c:pt idx="6">
                  <c:v>-2.532009972400509</c:v>
                </c:pt>
                <c:pt idx="7">
                  <c:v>11.466800779940939</c:v>
                </c:pt>
                <c:pt idx="8">
                  <c:v>8.7640965921797722</c:v>
                </c:pt>
                <c:pt idx="9">
                  <c:v>13.673599587657044</c:v>
                </c:pt>
                <c:pt idx="10">
                  <c:v>4.4874658015663442</c:v>
                </c:pt>
                <c:pt idx="11">
                  <c:v>-30.209411663895651</c:v>
                </c:pt>
                <c:pt idx="12">
                  <c:v>-2.501655725821557</c:v>
                </c:pt>
                <c:pt idx="13">
                  <c:v>4.1289655951549591</c:v>
                </c:pt>
                <c:pt idx="14">
                  <c:v>-4.0483943006121734</c:v>
                </c:pt>
                <c:pt idx="15">
                  <c:v>9.5740816969780269</c:v>
                </c:pt>
                <c:pt idx="16">
                  <c:v>-1.1769928074885811</c:v>
                </c:pt>
                <c:pt idx="17">
                  <c:v>47.620604476973455</c:v>
                </c:pt>
                <c:pt idx="18">
                  <c:v>11.857410173848194</c:v>
                </c:pt>
                <c:pt idx="19">
                  <c:v>-0.49569219759447813</c:v>
                </c:pt>
                <c:pt idx="20">
                  <c:v>-22.215347719185104</c:v>
                </c:pt>
                <c:pt idx="21">
                  <c:v>23.233343577701334</c:v>
                </c:pt>
                <c:pt idx="22">
                  <c:v>12.783286317275419</c:v>
                </c:pt>
                <c:pt idx="23">
                  <c:v>7.9867267357902989</c:v>
                </c:pt>
                <c:pt idx="24">
                  <c:v>-4.9075552663905242</c:v>
                </c:pt>
                <c:pt idx="25">
                  <c:v>8.4680749123623116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6.3270797980697537</c:v>
                </c:pt>
                <c:pt idx="1">
                  <c:v>7.5240697206171268</c:v>
                </c:pt>
                <c:pt idx="2">
                  <c:v>7.0554121699180916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3.6705339999986029</c:v>
                </c:pt>
                <c:pt idx="1">
                  <c:v>3.9680504339739686</c:v>
                </c:pt>
                <c:pt idx="2">
                  <c:v>5.1093352343154832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1.5613022096788447</c:v>
                </c:pt>
                <c:pt idx="1">
                  <c:v>1.9534167381686574</c:v>
                </c:pt>
                <c:pt idx="2">
                  <c:v>1.6880698438220501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1.9413137606781963</c:v>
                </c:pt>
                <c:pt idx="1">
                  <c:v>2.0102219432877724</c:v>
                </c:pt>
                <c:pt idx="2">
                  <c:v>2.1714809266781741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0.67137865141165165</c:v>
                </c:pt>
                <c:pt idx="1">
                  <c:v>0.72355692985089748</c:v>
                </c:pt>
                <c:pt idx="2">
                  <c:v>0.92470575217101036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2.0452983244130531</c:v>
                </c:pt>
                <c:pt idx="1">
                  <c:v>2.1227375877842096</c:v>
                </c:pt>
                <c:pt idx="2">
                  <c:v>2.3413230423782658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5.5698601189052397</c:v>
                </c:pt>
                <c:pt idx="1">
                  <c:v>6.0160842690006637</c:v>
                </c:pt>
                <c:pt idx="2">
                  <c:v>5.5780463232133544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8.1853803867733959</c:v>
                </c:pt>
                <c:pt idx="1">
                  <c:v>8.2024243403853543</c:v>
                </c:pt>
                <c:pt idx="2">
                  <c:v>6.4840035609087492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2.1142433728881533</c:v>
                </c:pt>
                <c:pt idx="1">
                  <c:v>1.8447563687644082</c:v>
                </c:pt>
                <c:pt idx="2">
                  <c:v>1.590759494716679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8.0327077156079874</c:v>
                </c:pt>
                <c:pt idx="1">
                  <c:v>7.2962486182365769</c:v>
                </c:pt>
                <c:pt idx="2">
                  <c:v>8.0667609073095257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2.1792394353801772</c:v>
                </c:pt>
                <c:pt idx="1">
                  <c:v>2.0732579631822099</c:v>
                </c:pt>
                <c:pt idx="2">
                  <c:v>2.2405315507822277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8.2089152515046226E-2</c:v>
                </c:pt>
                <c:pt idx="1">
                  <c:v>8.8663882646521058E-2</c:v>
                </c:pt>
                <c:pt idx="2">
                  <c:v>6.4868304153982051E-2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7.6419710895420243</c:v>
                </c:pt>
                <c:pt idx="1">
                  <c:v>7.0220296029739782</c:v>
                </c:pt>
                <c:pt idx="2">
                  <c:v>5.6634522115753265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1.4727841816036995</c:v>
                </c:pt>
                <c:pt idx="1">
                  <c:v>1.6286624362297304</c:v>
                </c:pt>
                <c:pt idx="2">
                  <c:v>2.1896416733523556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2.6218608566143802</c:v>
                </c:pt>
                <c:pt idx="1">
                  <c:v>2.1362096007285429</c:v>
                </c:pt>
                <c:pt idx="2">
                  <c:v>2.3260259836047363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3.038460992620704</c:v>
                </c:pt>
                <c:pt idx="1">
                  <c:v>2.8042738875307731</c:v>
                </c:pt>
                <c:pt idx="2">
                  <c:v>2.7820303302794911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5.2291915804525591</c:v>
                </c:pt>
                <c:pt idx="1">
                  <c:v>5.9663615521948179</c:v>
                </c:pt>
                <c:pt idx="2">
                  <c:v>6.4671599817509851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4.3701481186543099</c:v>
                </c:pt>
                <c:pt idx="1">
                  <c:v>4.6445756254133626</c:v>
                </c:pt>
                <c:pt idx="2">
                  <c:v>5.430774761989059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4.6830275268737092</c:v>
                </c:pt>
                <c:pt idx="1">
                  <c:v>5.0234516111721863</c:v>
                </c:pt>
                <c:pt idx="2">
                  <c:v>5.3255165129905455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5.4427010395528308</c:v>
                </c:pt>
                <c:pt idx="1">
                  <c:v>6.6644614430052069</c:v>
                </c:pt>
                <c:pt idx="2">
                  <c:v>7.7861811799768628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1.4576569263874424</c:v>
                </c:pt>
                <c:pt idx="1">
                  <c:v>1.4810880907805235</c:v>
                </c:pt>
                <c:pt idx="2">
                  <c:v>1.4665853653335492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4.2509125929931262</c:v>
                </c:pt>
                <c:pt idx="1">
                  <c:v>3.5972912953263152</c:v>
                </c:pt>
                <c:pt idx="2">
                  <c:v>3.1276072581668717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3.9642428575601185</c:v>
                </c:pt>
                <c:pt idx="1">
                  <c:v>3.2016141689020299</c:v>
                </c:pt>
                <c:pt idx="2">
                  <c:v>3.1902835560356815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2.1072111847134893</c:v>
                </c:pt>
                <c:pt idx="1">
                  <c:v>1.8925387826180609</c:v>
                </c:pt>
                <c:pt idx="2">
                  <c:v>1.67484628799318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1.8318712120620479</c:v>
                </c:pt>
                <c:pt idx="1">
                  <c:v>1.4053078402198049</c:v>
                </c:pt>
                <c:pt idx="2">
                  <c:v>1.1191703611794568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9.5075329140494613</c:v>
                </c:pt>
                <c:pt idx="1">
                  <c:v>8.7086452670062826</c:v>
                </c:pt>
                <c:pt idx="2">
                  <c:v>8.1354274254043393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3.5605196459717376</c:v>
                </c:pt>
                <c:pt idx="1">
                  <c:v>20.770013053065725</c:v>
                </c:pt>
                <c:pt idx="2">
                  <c:v>1.0179958585162012</c:v>
                </c:pt>
                <c:pt idx="3">
                  <c:v>58.982322453227198</c:v>
                </c:pt>
                <c:pt idx="4">
                  <c:v>8.4776601840322314</c:v>
                </c:pt>
                <c:pt idx="5">
                  <c:v>-32.711067389717186</c:v>
                </c:pt>
                <c:pt idx="6">
                  <c:v>35.859952788943644</c:v>
                </c:pt>
                <c:pt idx="7">
                  <c:v>157.0711323677383</c:v>
                </c:pt>
                <c:pt idx="8">
                  <c:v>57.477471039049817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146.00879215818625</c:v>
                </c:pt>
                <c:pt idx="1">
                  <c:v>96.117349622141063</c:v>
                </c:pt>
                <c:pt idx="2">
                  <c:v>119.28257811337519</c:v>
                </c:pt>
                <c:pt idx="3">
                  <c:v>230.62430550449847</c:v>
                </c:pt>
                <c:pt idx="4">
                  <c:v>140.40404579438888</c:v>
                </c:pt>
                <c:pt idx="5">
                  <c:v>107.12957552827748</c:v>
                </c:pt>
                <c:pt idx="6">
                  <c:v>216.41427212363789</c:v>
                </c:pt>
                <c:pt idx="7">
                  <c:v>502.2088511298324</c:v>
                </c:pt>
                <c:pt idx="8">
                  <c:v>251.04649388766873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8.1777474326033825</c:v>
                </c:pt>
                <c:pt idx="1">
                  <c:v>49.299723606446463</c:v>
                </c:pt>
                <c:pt idx="2">
                  <c:v>34.752245461453043</c:v>
                </c:pt>
                <c:pt idx="3">
                  <c:v>39.895269181712678</c:v>
                </c:pt>
                <c:pt idx="4">
                  <c:v>25.385302399093149</c:v>
                </c:pt>
                <c:pt idx="5">
                  <c:v>57.038315325479459</c:v>
                </c:pt>
                <c:pt idx="6">
                  <c:v>-2.532009972400509</c:v>
                </c:pt>
                <c:pt idx="7">
                  <c:v>11.466800779940939</c:v>
                </c:pt>
                <c:pt idx="8">
                  <c:v>8.7640965921797722</c:v>
                </c:pt>
                <c:pt idx="9">
                  <c:v>13.673599587657044</c:v>
                </c:pt>
                <c:pt idx="10">
                  <c:v>4.4874658015663442</c:v>
                </c:pt>
                <c:pt idx="11">
                  <c:v>-30.209411663895651</c:v>
                </c:pt>
                <c:pt idx="12">
                  <c:v>-2.501655725821557</c:v>
                </c:pt>
                <c:pt idx="13">
                  <c:v>4.1289655951549591</c:v>
                </c:pt>
                <c:pt idx="14">
                  <c:v>-4.0483943006121734</c:v>
                </c:pt>
                <c:pt idx="15">
                  <c:v>9.5740816969780269</c:v>
                </c:pt>
                <c:pt idx="16">
                  <c:v>-1.1769928074885811</c:v>
                </c:pt>
                <c:pt idx="17">
                  <c:v>47.620604476973455</c:v>
                </c:pt>
                <c:pt idx="18">
                  <c:v>11.857410173848194</c:v>
                </c:pt>
                <c:pt idx="19">
                  <c:v>-0.49569219759447813</c:v>
                </c:pt>
                <c:pt idx="20">
                  <c:v>-22.215347719185104</c:v>
                </c:pt>
                <c:pt idx="21">
                  <c:v>23.233343577701334</c:v>
                </c:pt>
                <c:pt idx="22">
                  <c:v>12.783286317275419</c:v>
                </c:pt>
                <c:pt idx="23">
                  <c:v>7.9867267357902989</c:v>
                </c:pt>
                <c:pt idx="24">
                  <c:v>-4.9075552663905242</c:v>
                </c:pt>
                <c:pt idx="25">
                  <c:v>8.4680749123623116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117.66579995717939</c:v>
                </c:pt>
                <c:pt idx="1">
                  <c:v>133.38069393048937</c:v>
                </c:pt>
                <c:pt idx="2">
                  <c:v>106.19123246693601</c:v>
                </c:pt>
                <c:pt idx="3">
                  <c:v>123.56715053441447</c:v>
                </c:pt>
                <c:pt idx="4">
                  <c:v>107.10602512792849</c:v>
                </c:pt>
                <c:pt idx="5">
                  <c:v>165.34444300055344</c:v>
                </c:pt>
                <c:pt idx="6">
                  <c:v>19.093835537404782</c:v>
                </c:pt>
                <c:pt idx="7">
                  <c:v>48.019451438711656</c:v>
                </c:pt>
                <c:pt idx="8">
                  <c:v>17.799267942188607</c:v>
                </c:pt>
                <c:pt idx="9">
                  <c:v>46.554709735800543</c:v>
                </c:pt>
                <c:pt idx="10">
                  <c:v>84.947007469532267</c:v>
                </c:pt>
                <c:pt idx="11">
                  <c:v>80.987541112458246</c:v>
                </c:pt>
                <c:pt idx="12">
                  <c:v>26.142034415819221</c:v>
                </c:pt>
                <c:pt idx="13">
                  <c:v>28.086256729866697</c:v>
                </c:pt>
                <c:pt idx="14">
                  <c:v>35.878667012884044</c:v>
                </c:pt>
                <c:pt idx="15">
                  <c:v>52.977961086840374</c:v>
                </c:pt>
                <c:pt idx="16">
                  <c:v>23.461160964797774</c:v>
                </c:pt>
                <c:pt idx="17">
                  <c:v>183.54590400276635</c:v>
                </c:pt>
                <c:pt idx="18">
                  <c:v>46.613664670289772</c:v>
                </c:pt>
                <c:pt idx="19">
                  <c:v>0.46473683144230837</c:v>
                </c:pt>
                <c:pt idx="20">
                  <c:v>66.76551535756596</c:v>
                </c:pt>
                <c:pt idx="21">
                  <c:v>52.51706275580927</c:v>
                </c:pt>
                <c:pt idx="22">
                  <c:v>41.404152104830828</c:v>
                </c:pt>
                <c:pt idx="23">
                  <c:v>54.713197517310228</c:v>
                </c:pt>
                <c:pt idx="24">
                  <c:v>9.4825068064325109</c:v>
                </c:pt>
                <c:pt idx="25">
                  <c:v>136.52628535175378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4064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140</v>
      </c>
      <c r="B2" s="82" t="s">
        <v>543</v>
      </c>
      <c r="C2" t="s">
        <v>526</v>
      </c>
      <c r="D2" t="s">
        <v>525</v>
      </c>
    </row>
    <row r="3" spans="1:10" x14ac:dyDescent="0.2">
      <c r="B3" s="82"/>
    </row>
    <row r="11" spans="1:10" x14ac:dyDescent="0.2">
      <c r="A11" t="s">
        <v>141</v>
      </c>
      <c r="B11" s="82" t="s">
        <v>543</v>
      </c>
    </row>
    <row r="12" spans="1:10" x14ac:dyDescent="0.2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2">
      <c r="A2" s="348"/>
      <c r="B2" s="348"/>
      <c r="C2" s="348"/>
      <c r="D2" s="348"/>
      <c r="E2" s="348"/>
      <c r="F2" s="364" t="s">
        <v>145</v>
      </c>
      <c r="G2" s="364"/>
      <c r="H2" s="364"/>
      <c r="I2" s="348"/>
      <c r="J2" s="348"/>
      <c r="K2" s="348"/>
      <c r="L2" s="348"/>
      <c r="M2" s="348"/>
      <c r="N2" s="348"/>
    </row>
    <row r="3" spans="1:14" ht="18.75" customHeight="1" x14ac:dyDescent="0.2">
      <c r="A3" s="348"/>
      <c r="B3" s="348"/>
      <c r="C3" s="365" t="s">
        <v>467</v>
      </c>
      <c r="D3" s="365"/>
      <c r="E3" s="365"/>
      <c r="F3" s="365"/>
      <c r="G3" s="365"/>
      <c r="H3" s="365"/>
      <c r="I3" s="365"/>
      <c r="J3" s="365"/>
      <c r="K3" s="365"/>
      <c r="L3" s="348"/>
      <c r="M3" s="348"/>
      <c r="N3" s="348"/>
    </row>
    <row r="4" spans="1:14" ht="18.75" customHeight="1" x14ac:dyDescent="0.2">
      <c r="A4" s="348"/>
      <c r="B4" s="348"/>
      <c r="C4" s="365" t="s">
        <v>468</v>
      </c>
      <c r="D4" s="365"/>
      <c r="E4" s="365"/>
      <c r="F4" s="365"/>
      <c r="G4" s="365"/>
      <c r="H4" s="365"/>
      <c r="I4" s="365"/>
      <c r="J4" s="365"/>
      <c r="K4" s="365"/>
      <c r="L4" s="348"/>
      <c r="M4" s="348"/>
      <c r="N4" s="348"/>
    </row>
    <row r="5" spans="1:14" ht="18.75" customHeight="1" x14ac:dyDescent="0.2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2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2">
      <c r="A7" s="348"/>
      <c r="B7" s="348"/>
      <c r="C7" s="366" t="s">
        <v>147</v>
      </c>
      <c r="D7" s="366"/>
      <c r="E7" s="366"/>
      <c r="F7" s="366"/>
      <c r="G7" s="366"/>
      <c r="H7" s="366"/>
      <c r="I7" s="366"/>
      <c r="J7" s="366"/>
      <c r="K7" s="366"/>
      <c r="L7" s="348"/>
      <c r="M7" s="348"/>
      <c r="N7" s="348"/>
    </row>
    <row r="8" spans="1:14" ht="18.75" customHeight="1" x14ac:dyDescent="0.2">
      <c r="A8" s="348"/>
      <c r="B8" s="348"/>
      <c r="C8" s="367" t="s">
        <v>148</v>
      </c>
      <c r="D8" s="367"/>
      <c r="E8" s="367"/>
      <c r="F8" s="367"/>
      <c r="G8" s="367"/>
      <c r="H8" s="367"/>
      <c r="I8" s="367"/>
      <c r="J8" s="367"/>
      <c r="K8" s="367"/>
      <c r="L8" s="348"/>
      <c r="M8" s="348"/>
      <c r="N8" s="348"/>
    </row>
    <row r="9" spans="1:14" ht="18.75" customHeight="1" x14ac:dyDescent="0.2">
      <c r="A9" s="348"/>
      <c r="B9" s="367" t="s">
        <v>149</v>
      </c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49"/>
      <c r="N9" s="348"/>
    </row>
    <row r="10" spans="1:14" ht="18.75" customHeight="1" x14ac:dyDescent="0.2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x14ac:dyDescent="0.2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75" x14ac:dyDescent="0.2">
      <c r="A12" s="348"/>
      <c r="B12" s="348"/>
      <c r="C12" s="348"/>
      <c r="D12" s="348"/>
      <c r="E12" s="348"/>
      <c r="F12" s="348"/>
      <c r="G12" s="215" t="s">
        <v>524</v>
      </c>
      <c r="H12" s="348"/>
      <c r="I12" s="348"/>
      <c r="J12" s="348"/>
      <c r="K12" s="348"/>
      <c r="L12" s="348"/>
      <c r="M12" s="348"/>
      <c r="N12" s="348"/>
    </row>
    <row r="13" spans="1:14" x14ac:dyDescent="0.2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5" thickBot="1" x14ac:dyDescent="0.25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75" x14ac:dyDescent="0.2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2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2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2">
      <c r="A18" s="216"/>
      <c r="B18" s="221"/>
      <c r="C18" s="348"/>
      <c r="D18" s="348"/>
      <c r="E18" s="348"/>
      <c r="F18" s="348"/>
      <c r="G18" s="222" t="s">
        <v>527</v>
      </c>
      <c r="H18" s="348"/>
      <c r="I18" s="348"/>
      <c r="J18" s="348"/>
      <c r="K18" s="348"/>
      <c r="L18" s="223"/>
      <c r="M18" s="348"/>
      <c r="N18" s="348"/>
    </row>
    <row r="19" spans="1:14" ht="15" x14ac:dyDescent="0.2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2">
      <c r="A20" s="216"/>
      <c r="B20" s="221"/>
      <c r="C20" s="348"/>
      <c r="D20" s="348"/>
      <c r="E20" s="348"/>
      <c r="F20" s="348"/>
      <c r="G20" s="222" t="s">
        <v>528</v>
      </c>
      <c r="H20" s="348"/>
      <c r="I20" s="348"/>
      <c r="J20" s="348"/>
      <c r="K20" s="348"/>
      <c r="L20" s="223"/>
      <c r="M20" s="348"/>
      <c r="N20" s="348"/>
    </row>
    <row r="21" spans="1:14" ht="15" x14ac:dyDescent="0.2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2">
      <c r="A22" s="216"/>
      <c r="B22" s="221"/>
      <c r="C22" s="348"/>
      <c r="D22" s="348"/>
      <c r="E22" s="348"/>
      <c r="F22" s="348"/>
      <c r="G22" s="351" t="s">
        <v>529</v>
      </c>
      <c r="H22" s="348"/>
      <c r="I22" s="348"/>
      <c r="J22" s="348"/>
      <c r="K22" s="348"/>
      <c r="L22" s="223"/>
      <c r="M22" s="348"/>
      <c r="N22" s="348"/>
    </row>
    <row r="23" spans="1:14" ht="15" x14ac:dyDescent="0.2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2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2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2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2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2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2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2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2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2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2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2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2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75" x14ac:dyDescent="0.2">
      <c r="A36" s="216"/>
      <c r="B36" s="224"/>
      <c r="C36" s="348"/>
      <c r="D36" s="348"/>
      <c r="E36" s="348"/>
      <c r="F36" s="348"/>
      <c r="G36" s="222" t="s">
        <v>530</v>
      </c>
      <c r="H36" s="348"/>
      <c r="I36" s="348"/>
      <c r="J36" s="348"/>
      <c r="K36" s="348"/>
      <c r="L36" s="223"/>
      <c r="M36" s="348"/>
      <c r="N36" s="348"/>
    </row>
    <row r="37" spans="1:14" ht="15.75" x14ac:dyDescent="0.2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2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2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5" thickBot="1" x14ac:dyDescent="0.25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2">
      <c r="A41" s="368"/>
      <c r="B41" s="368"/>
      <c r="C41" s="368"/>
      <c r="D41" s="368"/>
      <c r="E41" s="368"/>
      <c r="F41" s="368"/>
      <c r="G41" s="368"/>
      <c r="H41" s="363"/>
      <c r="I41" s="363"/>
      <c r="J41" s="363"/>
      <c r="K41" s="363"/>
      <c r="L41" s="363"/>
      <c r="M41" s="363"/>
      <c r="N41" s="363"/>
    </row>
    <row r="42" spans="1:14" x14ac:dyDescent="0.2">
      <c r="A42" s="368"/>
      <c r="B42" s="368"/>
      <c r="C42" s="368"/>
      <c r="D42" s="368"/>
      <c r="E42" s="368"/>
      <c r="F42" s="368"/>
      <c r="G42" s="368"/>
      <c r="H42" s="363"/>
      <c r="I42" s="363"/>
      <c r="J42" s="363"/>
      <c r="K42" s="363"/>
      <c r="L42" s="363"/>
      <c r="M42" s="363"/>
      <c r="N42" s="363"/>
    </row>
    <row r="43" spans="1:14" x14ac:dyDescent="0.2">
      <c r="A43" s="225"/>
      <c r="B43" s="225"/>
      <c r="C43" s="225"/>
      <c r="D43" s="225"/>
      <c r="E43" s="225"/>
      <c r="F43" s="225"/>
      <c r="G43" s="225"/>
      <c r="H43" s="363"/>
      <c r="I43" s="363"/>
      <c r="J43" s="363"/>
      <c r="K43" s="363"/>
      <c r="L43" s="363"/>
      <c r="M43" s="363"/>
      <c r="N43" s="363"/>
    </row>
    <row r="44" spans="1:14" x14ac:dyDescent="0.2">
      <c r="A44" s="225"/>
      <c r="B44" s="225"/>
      <c r="C44" s="225"/>
      <c r="D44" s="225"/>
      <c r="E44" s="225"/>
      <c r="F44" s="225"/>
      <c r="G44" s="225"/>
      <c r="H44" s="363"/>
      <c r="I44" s="363"/>
      <c r="J44" s="363"/>
      <c r="K44" s="363"/>
      <c r="L44" s="363"/>
      <c r="M44" s="363"/>
      <c r="N44" s="363"/>
    </row>
    <row r="45" spans="1:14" x14ac:dyDescent="0.2">
      <c r="A45" s="225"/>
      <c r="B45" s="225"/>
      <c r="C45" s="225"/>
      <c r="D45" s="225"/>
      <c r="E45" s="225"/>
      <c r="F45" s="225"/>
      <c r="G45" s="225"/>
      <c r="H45" s="363"/>
      <c r="I45" s="363"/>
      <c r="J45" s="363"/>
      <c r="K45" s="363"/>
      <c r="L45" s="363"/>
      <c r="M45" s="363"/>
      <c r="N45" s="363"/>
    </row>
    <row r="46" spans="1:14" x14ac:dyDescent="0.2">
      <c r="A46" s="225"/>
      <c r="B46" s="225"/>
      <c r="C46" s="225"/>
      <c r="D46" s="225"/>
      <c r="E46" s="225"/>
      <c r="F46" s="225"/>
      <c r="G46" s="225"/>
      <c r="H46" s="363"/>
      <c r="I46" s="363"/>
      <c r="J46" s="363"/>
      <c r="K46" s="363"/>
      <c r="L46" s="363"/>
      <c r="M46" s="363"/>
      <c r="N46" s="363"/>
    </row>
    <row r="47" spans="1:14" x14ac:dyDescent="0.2">
      <c r="A47" s="225"/>
      <c r="B47" s="225"/>
      <c r="C47" s="225"/>
      <c r="D47" s="225"/>
      <c r="E47" s="225"/>
      <c r="F47" s="225"/>
      <c r="G47" s="225"/>
      <c r="H47" s="363"/>
      <c r="I47" s="363"/>
      <c r="J47" s="363"/>
      <c r="K47" s="363"/>
      <c r="L47" s="363"/>
      <c r="M47" s="363"/>
      <c r="N47" s="363"/>
    </row>
    <row r="48" spans="1:14" x14ac:dyDescent="0.2">
      <c r="A48" s="225"/>
      <c r="B48" s="225"/>
      <c r="C48" s="225"/>
      <c r="D48" s="225"/>
      <c r="E48" s="225"/>
      <c r="F48" s="225"/>
      <c r="G48" s="225"/>
      <c r="H48" s="363"/>
      <c r="I48" s="363"/>
      <c r="J48" s="363"/>
      <c r="K48" s="363"/>
      <c r="L48" s="363"/>
      <c r="M48" s="363"/>
      <c r="N48" s="363"/>
    </row>
    <row r="49" spans="1:14" x14ac:dyDescent="0.2">
      <c r="A49" s="225"/>
      <c r="B49" s="225"/>
      <c r="C49" s="225"/>
      <c r="D49" s="225"/>
      <c r="E49" s="225"/>
      <c r="F49" s="225"/>
      <c r="G49" s="225"/>
      <c r="H49" s="363"/>
      <c r="I49" s="363"/>
      <c r="J49" s="363"/>
      <c r="K49" s="363"/>
      <c r="L49" s="363"/>
      <c r="M49" s="363"/>
      <c r="N49" s="363"/>
    </row>
    <row r="50" spans="1:14" x14ac:dyDescent="0.2">
      <c r="A50" s="225"/>
      <c r="B50" s="225"/>
      <c r="C50" s="225"/>
      <c r="D50" s="225"/>
      <c r="E50" s="225"/>
      <c r="F50" s="225"/>
      <c r="G50" s="225"/>
      <c r="H50" s="363"/>
      <c r="I50" s="363"/>
      <c r="J50" s="363"/>
      <c r="K50" s="363"/>
      <c r="L50" s="363"/>
      <c r="M50" s="363"/>
      <c r="N50" s="363"/>
    </row>
    <row r="51" spans="1:14" x14ac:dyDescent="0.2">
      <c r="A51" s="225"/>
      <c r="B51" s="225"/>
      <c r="C51" s="225"/>
      <c r="D51" s="225"/>
      <c r="E51" s="225"/>
      <c r="F51" s="225"/>
      <c r="G51" s="225"/>
      <c r="H51" s="363"/>
      <c r="I51" s="363"/>
      <c r="J51" s="363"/>
      <c r="K51" s="363"/>
      <c r="L51" s="363"/>
      <c r="M51" s="363"/>
      <c r="N51" s="363"/>
    </row>
    <row r="52" spans="1:14" x14ac:dyDescent="0.2">
      <c r="A52" s="225"/>
      <c r="B52" s="225"/>
      <c r="C52" s="225"/>
      <c r="D52" s="225"/>
      <c r="E52" s="225"/>
      <c r="F52" s="225"/>
      <c r="G52" s="225"/>
      <c r="H52" s="363"/>
      <c r="I52" s="363"/>
      <c r="J52" s="363"/>
      <c r="K52" s="363"/>
      <c r="L52" s="363"/>
      <c r="M52" s="363"/>
      <c r="N52" s="363"/>
    </row>
    <row r="53" spans="1:14" x14ac:dyDescent="0.2">
      <c r="A53" s="225"/>
      <c r="B53" s="225"/>
      <c r="C53" s="225"/>
      <c r="D53" s="225"/>
      <c r="E53" s="225"/>
      <c r="F53" s="225"/>
      <c r="G53" s="225"/>
      <c r="H53" s="363"/>
      <c r="I53" s="363"/>
      <c r="J53" s="363"/>
      <c r="K53" s="363"/>
      <c r="L53" s="363"/>
      <c r="M53" s="363"/>
      <c r="N53" s="363"/>
    </row>
    <row r="54" spans="1:14" x14ac:dyDescent="0.2">
      <c r="A54" s="225"/>
      <c r="B54" s="225"/>
      <c r="C54" s="225"/>
      <c r="D54" s="225"/>
      <c r="E54" s="225"/>
      <c r="F54" s="225"/>
      <c r="G54" s="225"/>
      <c r="H54" s="363"/>
      <c r="I54" s="363"/>
      <c r="J54" s="363"/>
      <c r="K54" s="363"/>
      <c r="L54" s="363"/>
      <c r="M54" s="363"/>
      <c r="N54" s="363"/>
    </row>
    <row r="55" spans="1:14" x14ac:dyDescent="0.2">
      <c r="A55" s="225"/>
      <c r="B55" s="225"/>
      <c r="C55" s="225"/>
      <c r="D55" s="225"/>
      <c r="E55" s="225"/>
      <c r="F55" s="225"/>
      <c r="G55" s="225"/>
      <c r="H55" s="363"/>
      <c r="I55" s="363"/>
      <c r="J55" s="363"/>
      <c r="K55" s="363"/>
      <c r="L55" s="363"/>
      <c r="M55" s="363"/>
      <c r="N55" s="363"/>
    </row>
    <row r="56" spans="1:14" x14ac:dyDescent="0.2">
      <c r="A56" s="225"/>
      <c r="B56" s="225"/>
      <c r="C56" s="225"/>
      <c r="D56" s="225"/>
      <c r="E56" s="225"/>
      <c r="F56" s="225"/>
      <c r="G56" s="225"/>
      <c r="H56" s="363"/>
      <c r="I56" s="363"/>
      <c r="J56" s="363"/>
      <c r="K56" s="363"/>
      <c r="L56" s="363"/>
      <c r="M56" s="363"/>
      <c r="N56" s="363"/>
    </row>
    <row r="57" spans="1:14" x14ac:dyDescent="0.2">
      <c r="A57" s="225"/>
      <c r="B57" s="225"/>
      <c r="C57" s="225"/>
      <c r="D57" s="225"/>
      <c r="E57" s="225"/>
      <c r="F57" s="225"/>
      <c r="G57" s="225"/>
      <c r="H57" s="363"/>
      <c r="I57" s="363"/>
      <c r="J57" s="363"/>
      <c r="K57" s="363"/>
      <c r="L57" s="363"/>
      <c r="M57" s="363"/>
      <c r="N57" s="363"/>
    </row>
    <row r="58" spans="1:14" x14ac:dyDescent="0.2">
      <c r="A58" s="225"/>
      <c r="B58" s="225"/>
      <c r="C58" s="225"/>
      <c r="D58" s="225"/>
      <c r="E58" s="225"/>
      <c r="F58" s="225"/>
      <c r="G58" s="225"/>
      <c r="H58" s="363"/>
      <c r="I58" s="363"/>
      <c r="J58" s="363"/>
      <c r="K58" s="363"/>
      <c r="L58" s="363"/>
      <c r="M58" s="363"/>
      <c r="N58" s="363"/>
    </row>
    <row r="59" spans="1:14" x14ac:dyDescent="0.2">
      <c r="A59" s="225"/>
      <c r="B59" s="225"/>
      <c r="C59" s="225"/>
      <c r="D59" s="225"/>
      <c r="E59" s="225"/>
      <c r="F59" s="225"/>
      <c r="G59" s="225"/>
      <c r="H59" s="363"/>
      <c r="I59" s="363"/>
      <c r="J59" s="363"/>
      <c r="K59" s="363"/>
      <c r="L59" s="363"/>
      <c r="M59" s="363"/>
      <c r="N59" s="363"/>
    </row>
    <row r="60" spans="1:14" x14ac:dyDescent="0.2">
      <c r="A60" s="225"/>
      <c r="B60" s="225"/>
      <c r="C60" s="225"/>
      <c r="D60" s="225"/>
      <c r="E60" s="225"/>
      <c r="F60" s="225"/>
      <c r="G60" s="225"/>
      <c r="H60" s="363"/>
      <c r="I60" s="363"/>
      <c r="J60" s="363"/>
      <c r="K60" s="363"/>
      <c r="L60" s="363"/>
      <c r="M60" s="363"/>
      <c r="N60" s="363"/>
    </row>
    <row r="61" spans="1:14" x14ac:dyDescent="0.2">
      <c r="A61" s="225"/>
      <c r="B61" s="225"/>
      <c r="C61" s="225"/>
      <c r="D61" s="225"/>
      <c r="E61" s="225"/>
      <c r="F61" s="225"/>
      <c r="G61" s="225"/>
      <c r="H61" s="363"/>
      <c r="I61" s="363"/>
      <c r="J61" s="363"/>
      <c r="K61" s="363"/>
      <c r="L61" s="363"/>
      <c r="M61" s="363"/>
      <c r="N61" s="363"/>
    </row>
    <row r="62" spans="1:14" x14ac:dyDescent="0.2">
      <c r="A62" s="225"/>
      <c r="B62" s="225"/>
      <c r="C62" s="225"/>
      <c r="D62" s="225"/>
      <c r="E62" s="225"/>
      <c r="F62" s="225"/>
      <c r="G62" s="225"/>
      <c r="H62" s="363"/>
      <c r="I62" s="363"/>
      <c r="J62" s="363"/>
      <c r="K62" s="363"/>
      <c r="L62" s="363"/>
      <c r="M62" s="363"/>
      <c r="N62" s="363"/>
    </row>
    <row r="63" spans="1:14" x14ac:dyDescent="0.2">
      <c r="A63" s="225"/>
      <c r="B63" s="225"/>
      <c r="C63" s="225"/>
      <c r="D63" s="225"/>
      <c r="E63" s="225"/>
      <c r="F63" s="225"/>
      <c r="G63" s="225"/>
      <c r="H63" s="363"/>
      <c r="I63" s="363"/>
      <c r="J63" s="363"/>
      <c r="K63" s="363"/>
      <c r="L63" s="363"/>
      <c r="M63" s="363"/>
      <c r="N63" s="363"/>
    </row>
    <row r="64" spans="1:14" x14ac:dyDescent="0.2">
      <c r="A64" s="225"/>
      <c r="B64" s="225"/>
      <c r="C64" s="225"/>
      <c r="D64" s="225"/>
      <c r="E64" s="225"/>
      <c r="F64" s="225"/>
      <c r="G64" s="225"/>
      <c r="H64" s="363"/>
      <c r="I64" s="363"/>
      <c r="J64" s="363"/>
      <c r="K64" s="363"/>
      <c r="L64" s="363"/>
      <c r="M64" s="363"/>
      <c r="N64" s="363"/>
    </row>
    <row r="65" spans="1:14" x14ac:dyDescent="0.2">
      <c r="A65" s="225"/>
      <c r="B65" s="225"/>
      <c r="C65" s="225"/>
      <c r="D65" s="225"/>
      <c r="E65" s="225"/>
      <c r="F65" s="225"/>
      <c r="G65" s="225"/>
      <c r="H65" s="363"/>
      <c r="I65" s="363"/>
      <c r="J65" s="363"/>
      <c r="K65" s="363"/>
      <c r="L65" s="363"/>
      <c r="M65" s="363"/>
      <c r="N65" s="363"/>
    </row>
    <row r="66" spans="1:14" x14ac:dyDescent="0.2">
      <c r="A66" s="225"/>
      <c r="B66" s="225"/>
      <c r="C66" s="225"/>
      <c r="D66" s="225"/>
      <c r="E66" s="225"/>
      <c r="F66" s="225"/>
      <c r="G66" s="225"/>
      <c r="H66" s="363"/>
      <c r="I66" s="363"/>
      <c r="J66" s="363"/>
      <c r="K66" s="363"/>
      <c r="L66" s="363"/>
      <c r="M66" s="363"/>
      <c r="N66" s="363"/>
    </row>
    <row r="67" spans="1:14" x14ac:dyDescent="0.2">
      <c r="A67" s="225"/>
      <c r="B67" s="225"/>
      <c r="C67" s="225"/>
      <c r="D67" s="225"/>
      <c r="E67" s="225"/>
      <c r="F67" s="225"/>
      <c r="G67" s="225"/>
      <c r="H67" s="363"/>
      <c r="I67" s="363"/>
      <c r="J67" s="363"/>
      <c r="K67" s="363"/>
      <c r="L67" s="363"/>
      <c r="M67" s="363"/>
      <c r="N67" s="363"/>
    </row>
    <row r="68" spans="1:14" x14ac:dyDescent="0.2">
      <c r="A68" s="225"/>
      <c r="B68" s="225"/>
      <c r="C68" s="225"/>
      <c r="D68" s="225"/>
      <c r="E68" s="225"/>
      <c r="F68" s="225"/>
      <c r="G68" s="225"/>
      <c r="H68" s="363"/>
      <c r="I68" s="363"/>
      <c r="J68" s="363"/>
      <c r="K68" s="363"/>
      <c r="L68" s="363"/>
      <c r="M68" s="363"/>
      <c r="N68" s="363"/>
    </row>
    <row r="69" spans="1:14" x14ac:dyDescent="0.2">
      <c r="A69" s="225"/>
      <c r="B69" s="225"/>
      <c r="C69" s="225"/>
      <c r="D69" s="225"/>
      <c r="E69" s="225"/>
      <c r="F69" s="225"/>
      <c r="G69" s="225"/>
      <c r="H69" s="363"/>
      <c r="I69" s="363"/>
      <c r="J69" s="363"/>
      <c r="K69" s="363"/>
      <c r="L69" s="363"/>
      <c r="M69" s="363"/>
      <c r="N69" s="363"/>
    </row>
    <row r="70" spans="1:14" x14ac:dyDescent="0.2">
      <c r="A70" s="225"/>
      <c r="B70" s="225"/>
      <c r="C70" s="225"/>
      <c r="D70" s="225"/>
      <c r="E70" s="225"/>
      <c r="F70" s="225"/>
      <c r="G70" s="225"/>
      <c r="H70" s="363"/>
      <c r="I70" s="363"/>
      <c r="J70" s="363"/>
      <c r="K70" s="363"/>
      <c r="L70" s="363"/>
      <c r="M70" s="363"/>
      <c r="N70" s="363"/>
    </row>
    <row r="71" spans="1:14" x14ac:dyDescent="0.2">
      <c r="A71" s="225"/>
      <c r="B71" s="225"/>
      <c r="C71" s="225"/>
      <c r="D71" s="225"/>
      <c r="E71" s="225"/>
      <c r="F71" s="225"/>
      <c r="G71" s="225"/>
      <c r="H71" s="363"/>
      <c r="I71" s="363"/>
      <c r="J71" s="363"/>
      <c r="K71" s="363"/>
      <c r="L71" s="363"/>
      <c r="M71" s="363"/>
      <c r="N71" s="363"/>
    </row>
    <row r="72" spans="1:14" x14ac:dyDescent="0.2">
      <c r="A72" s="225"/>
      <c r="B72" s="225"/>
      <c r="C72" s="225"/>
      <c r="D72" s="225"/>
      <c r="E72" s="225"/>
      <c r="F72" s="225"/>
      <c r="G72" s="225"/>
      <c r="H72" s="363"/>
      <c r="I72" s="363"/>
      <c r="J72" s="363"/>
      <c r="K72" s="363"/>
      <c r="L72" s="363"/>
      <c r="M72" s="363"/>
      <c r="N72" s="363"/>
    </row>
    <row r="73" spans="1:14" x14ac:dyDescent="0.2">
      <c r="A73" s="225"/>
      <c r="B73" s="225"/>
      <c r="C73" s="225"/>
      <c r="D73" s="225"/>
      <c r="E73" s="225"/>
      <c r="F73" s="225"/>
      <c r="G73" s="225"/>
      <c r="H73" s="363"/>
      <c r="I73" s="363"/>
      <c r="J73" s="363"/>
      <c r="K73" s="363"/>
      <c r="L73" s="363"/>
      <c r="M73" s="363"/>
      <c r="N73" s="363"/>
    </row>
    <row r="74" spans="1:14" x14ac:dyDescent="0.2">
      <c r="A74" s="225"/>
      <c r="B74" s="225"/>
      <c r="C74" s="225"/>
      <c r="D74" s="225"/>
      <c r="E74" s="225"/>
      <c r="F74" s="225"/>
      <c r="G74" s="225"/>
      <c r="H74" s="363"/>
      <c r="I74" s="363"/>
      <c r="J74" s="363"/>
      <c r="K74" s="363"/>
      <c r="L74" s="363"/>
      <c r="M74" s="363"/>
      <c r="N74" s="363"/>
    </row>
    <row r="75" spans="1:14" x14ac:dyDescent="0.2">
      <c r="A75" s="225"/>
      <c r="B75" s="225"/>
      <c r="C75" s="225"/>
      <c r="D75" s="225"/>
      <c r="E75" s="225"/>
      <c r="F75" s="225"/>
      <c r="G75" s="225"/>
      <c r="H75" s="363"/>
      <c r="I75" s="363"/>
      <c r="J75" s="363"/>
      <c r="K75" s="363"/>
      <c r="L75" s="363"/>
      <c r="M75" s="363"/>
      <c r="N75" s="363"/>
    </row>
    <row r="76" spans="1:14" x14ac:dyDescent="0.2">
      <c r="A76" s="225"/>
      <c r="B76" s="225"/>
      <c r="C76" s="225"/>
      <c r="D76" s="225"/>
      <c r="E76" s="225"/>
      <c r="F76" s="225"/>
      <c r="G76" s="225"/>
      <c r="H76" s="363"/>
      <c r="I76" s="363"/>
      <c r="J76" s="363"/>
      <c r="K76" s="363"/>
      <c r="L76" s="363"/>
      <c r="M76" s="363"/>
      <c r="N76" s="363"/>
    </row>
    <row r="77" spans="1:14" x14ac:dyDescent="0.2">
      <c r="A77" s="225"/>
      <c r="B77" s="225"/>
      <c r="C77" s="225"/>
      <c r="D77" s="225"/>
      <c r="E77" s="225"/>
      <c r="F77" s="225"/>
      <c r="G77" s="225"/>
      <c r="H77" s="363"/>
      <c r="I77" s="363"/>
      <c r="J77" s="363"/>
      <c r="K77" s="363"/>
      <c r="L77" s="363"/>
      <c r="M77" s="363"/>
      <c r="N77" s="363"/>
    </row>
    <row r="78" spans="1:14" x14ac:dyDescent="0.2">
      <c r="A78" s="225"/>
      <c r="B78" s="225"/>
      <c r="C78" s="225"/>
      <c r="D78" s="225"/>
      <c r="E78" s="225"/>
      <c r="F78" s="225"/>
      <c r="G78" s="225"/>
      <c r="H78" s="363"/>
      <c r="I78" s="363"/>
      <c r="J78" s="363"/>
      <c r="K78" s="363"/>
      <c r="L78" s="363"/>
      <c r="M78" s="363"/>
      <c r="N78" s="363"/>
    </row>
    <row r="79" spans="1:14" x14ac:dyDescent="0.2">
      <c r="A79" s="225"/>
      <c r="B79" s="225"/>
      <c r="C79" s="225"/>
      <c r="D79" s="225"/>
      <c r="E79" s="225"/>
      <c r="F79" s="225"/>
      <c r="G79" s="225"/>
      <c r="H79" s="363"/>
      <c r="I79" s="363"/>
      <c r="J79" s="363"/>
      <c r="K79" s="363"/>
      <c r="L79" s="363"/>
      <c r="M79" s="363"/>
      <c r="N79" s="363"/>
    </row>
    <row r="80" spans="1:14" x14ac:dyDescent="0.2">
      <c r="A80" s="225"/>
      <c r="B80" s="225"/>
      <c r="C80" s="225"/>
      <c r="D80" s="225"/>
      <c r="E80" s="225"/>
      <c r="F80" s="225"/>
      <c r="G80" s="225"/>
      <c r="H80" s="363"/>
      <c r="I80" s="363"/>
      <c r="J80" s="363"/>
      <c r="K80" s="363"/>
      <c r="L80" s="363"/>
      <c r="M80" s="363"/>
      <c r="N80" s="363"/>
    </row>
    <row r="81" spans="1:14" x14ac:dyDescent="0.2">
      <c r="A81" s="225"/>
      <c r="B81" s="225"/>
      <c r="C81" s="225"/>
      <c r="D81" s="225"/>
      <c r="E81" s="225"/>
      <c r="F81" s="225"/>
      <c r="G81" s="225"/>
      <c r="H81" s="363"/>
      <c r="I81" s="363"/>
      <c r="J81" s="363"/>
      <c r="K81" s="363"/>
      <c r="L81" s="363"/>
      <c r="M81" s="363"/>
      <c r="N81" s="363"/>
    </row>
    <row r="82" spans="1:14" x14ac:dyDescent="0.2">
      <c r="A82" s="225"/>
      <c r="B82" s="225"/>
      <c r="C82" s="225"/>
      <c r="D82" s="225"/>
      <c r="E82" s="225"/>
      <c r="F82" s="225"/>
      <c r="G82" s="225"/>
      <c r="H82" s="363"/>
      <c r="I82" s="363"/>
      <c r="J82" s="363"/>
      <c r="K82" s="363"/>
      <c r="L82" s="363"/>
      <c r="M82" s="363"/>
      <c r="N82" s="363"/>
    </row>
    <row r="83" spans="1:14" x14ac:dyDescent="0.2">
      <c r="A83" s="225"/>
      <c r="B83" s="225"/>
      <c r="C83" s="225"/>
      <c r="D83" s="225"/>
      <c r="E83" s="225"/>
      <c r="F83" s="225"/>
      <c r="G83" s="225"/>
      <c r="H83" s="363"/>
      <c r="I83" s="363"/>
      <c r="J83" s="363"/>
      <c r="K83" s="363"/>
      <c r="L83" s="363"/>
      <c r="M83" s="363"/>
      <c r="N83" s="363"/>
    </row>
    <row r="84" spans="1:14" x14ac:dyDescent="0.2">
      <c r="A84" s="225"/>
      <c r="B84" s="225"/>
      <c r="C84" s="225"/>
      <c r="D84" s="225"/>
      <c r="E84" s="225"/>
      <c r="F84" s="225"/>
      <c r="G84" s="225"/>
      <c r="H84" s="363"/>
      <c r="I84" s="363"/>
      <c r="J84" s="363"/>
      <c r="K84" s="363"/>
      <c r="L84" s="363"/>
      <c r="M84" s="363"/>
      <c r="N84" s="363"/>
    </row>
    <row r="85" spans="1:14" x14ac:dyDescent="0.2">
      <c r="A85" s="225"/>
      <c r="B85" s="225"/>
      <c r="C85" s="225"/>
      <c r="D85" s="225"/>
      <c r="E85" s="225"/>
      <c r="F85" s="225"/>
      <c r="G85" s="225"/>
      <c r="H85" s="363"/>
      <c r="I85" s="363"/>
      <c r="J85" s="363"/>
      <c r="K85" s="363"/>
      <c r="L85" s="363"/>
      <c r="M85" s="363"/>
      <c r="N85" s="363"/>
    </row>
    <row r="86" spans="1:14" x14ac:dyDescent="0.2">
      <c r="A86" s="225"/>
      <c r="B86" s="225"/>
      <c r="C86" s="225"/>
      <c r="D86" s="225"/>
      <c r="E86" s="225"/>
      <c r="F86" s="225"/>
      <c r="G86" s="225"/>
      <c r="H86" s="363"/>
      <c r="I86" s="363"/>
      <c r="J86" s="363"/>
      <c r="K86" s="363"/>
      <c r="L86" s="363"/>
      <c r="M86" s="363"/>
      <c r="N86" s="363"/>
    </row>
    <row r="87" spans="1:14" x14ac:dyDescent="0.2">
      <c r="A87" s="225"/>
      <c r="B87" s="225"/>
      <c r="C87" s="225"/>
      <c r="D87" s="225"/>
      <c r="E87" s="225"/>
      <c r="F87" s="225"/>
      <c r="G87" s="225"/>
      <c r="H87" s="363"/>
      <c r="I87" s="363"/>
      <c r="J87" s="363"/>
      <c r="K87" s="363"/>
      <c r="L87" s="363"/>
      <c r="M87" s="363"/>
      <c r="N87" s="363"/>
    </row>
    <row r="88" spans="1:14" x14ac:dyDescent="0.2">
      <c r="A88" s="225"/>
      <c r="B88" s="225"/>
      <c r="C88" s="225"/>
      <c r="D88" s="225"/>
      <c r="E88" s="225"/>
      <c r="F88" s="225"/>
      <c r="G88" s="225"/>
      <c r="H88" s="363"/>
      <c r="I88" s="363"/>
      <c r="J88" s="363"/>
      <c r="K88" s="363"/>
      <c r="L88" s="363"/>
      <c r="M88" s="363"/>
      <c r="N88" s="363"/>
    </row>
    <row r="89" spans="1:14" x14ac:dyDescent="0.2">
      <c r="A89" s="225"/>
      <c r="B89" s="225"/>
      <c r="C89" s="225"/>
      <c r="D89" s="225"/>
      <c r="E89" s="225"/>
      <c r="F89" s="225"/>
      <c r="G89" s="225"/>
      <c r="H89" s="363"/>
      <c r="I89" s="363"/>
      <c r="J89" s="363"/>
      <c r="K89" s="363"/>
      <c r="L89" s="363"/>
      <c r="M89" s="363"/>
      <c r="N89" s="363"/>
    </row>
    <row r="90" spans="1:14" x14ac:dyDescent="0.2">
      <c r="A90" s="225"/>
      <c r="B90" s="225"/>
      <c r="C90" s="225"/>
      <c r="D90" s="225"/>
      <c r="E90" s="225"/>
      <c r="F90" s="225"/>
      <c r="G90" s="225"/>
      <c r="H90" s="363"/>
      <c r="I90" s="363"/>
      <c r="J90" s="363"/>
      <c r="K90" s="363"/>
      <c r="L90" s="363"/>
      <c r="M90" s="363"/>
      <c r="N90" s="363"/>
    </row>
    <row r="91" spans="1:14" x14ac:dyDescent="0.2">
      <c r="A91" s="225"/>
      <c r="B91" s="225"/>
      <c r="C91" s="225"/>
      <c r="D91" s="225"/>
      <c r="E91" s="225"/>
      <c r="F91" s="225"/>
      <c r="G91" s="225"/>
      <c r="H91" s="363"/>
      <c r="I91" s="363"/>
      <c r="J91" s="363"/>
      <c r="K91" s="363"/>
      <c r="L91" s="363"/>
      <c r="M91" s="363"/>
      <c r="N91" s="363"/>
    </row>
    <row r="92" spans="1:14" x14ac:dyDescent="0.2">
      <c r="A92" s="225"/>
      <c r="B92" s="225"/>
      <c r="C92" s="225"/>
      <c r="D92" s="225"/>
      <c r="E92" s="225"/>
      <c r="F92" s="225"/>
      <c r="G92" s="225"/>
      <c r="H92" s="363"/>
      <c r="I92" s="363"/>
      <c r="J92" s="363"/>
      <c r="K92" s="363"/>
      <c r="L92" s="363"/>
      <c r="M92" s="363"/>
      <c r="N92" s="363"/>
    </row>
    <row r="93" spans="1:14" x14ac:dyDescent="0.2">
      <c r="A93" s="225"/>
      <c r="B93" s="225"/>
      <c r="C93" s="225"/>
      <c r="D93" s="225"/>
      <c r="E93" s="225"/>
      <c r="F93" s="225"/>
      <c r="G93" s="225"/>
      <c r="H93" s="363"/>
      <c r="I93" s="363"/>
      <c r="J93" s="363"/>
      <c r="K93" s="363"/>
      <c r="L93" s="363"/>
      <c r="M93" s="363"/>
      <c r="N93" s="363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522</v>
      </c>
      <c r="B1" t="s">
        <v>544</v>
      </c>
    </row>
    <row r="2" spans="1:2" x14ac:dyDescent="0.2">
      <c r="A2" t="s">
        <v>446</v>
      </c>
      <c r="B2" t="s">
        <v>447</v>
      </c>
    </row>
    <row r="3" spans="1:2" x14ac:dyDescent="0.2">
      <c r="A3" t="s">
        <v>448</v>
      </c>
      <c r="B3" t="s">
        <v>519</v>
      </c>
    </row>
    <row r="4" spans="1:2" x14ac:dyDescent="0.2">
      <c r="A4" t="s">
        <v>520</v>
      </c>
      <c r="B4" s="388">
        <v>44967.572962962964</v>
      </c>
    </row>
    <row r="5" spans="1:2" x14ac:dyDescent="0.2">
      <c r="A5" t="s">
        <v>523</v>
      </c>
      <c r="B5" t="s">
        <v>545</v>
      </c>
    </row>
    <row r="6" spans="1:2" x14ac:dyDescent="0.2">
      <c r="A6" t="s">
        <v>121</v>
      </c>
      <c r="B6" t="s">
        <v>546</v>
      </c>
    </row>
    <row r="40" spans="7:7" x14ac:dyDescent="0.2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4" t="s">
        <v>97</v>
      </c>
    </row>
    <row r="4" spans="1:52" x14ac:dyDescent="0.2">
      <c r="B4" s="82" t="s">
        <v>96</v>
      </c>
      <c r="C4" t="str">
        <f>Stored!B11</f>
        <v>M:/IE/Projects/Nuffield via NFER AI and automation/Data/Results/Workbooks/SW/SW_Database.Main.xlsx</v>
      </c>
    </row>
    <row r="5" spans="1:52" x14ac:dyDescent="0.2">
      <c r="B5" s="82"/>
    </row>
    <row r="6" spans="1:52" ht="22.5" customHeight="1" x14ac:dyDescent="0.2">
      <c r="B6" s="175" t="s">
        <v>137</v>
      </c>
      <c r="C6" s="175"/>
      <c r="D6" s="199"/>
    </row>
    <row r="7" spans="1:52" ht="15.75" customHeight="1" x14ac:dyDescent="0.2">
      <c r="B7" s="52"/>
      <c r="C7" s="53"/>
      <c r="D7" s="54"/>
    </row>
    <row r="8" spans="1:52" ht="21" customHeight="1" x14ac:dyDescent="0.2">
      <c r="B8" s="55"/>
      <c r="C8" s="198"/>
      <c r="D8" s="56"/>
    </row>
    <row r="10" spans="1:52" ht="17.25" customHeight="1" x14ac:dyDescent="0.2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2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3.5" thickBot="1" x14ac:dyDescent="0.2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3.5" thickBot="1" x14ac:dyDescent="0.2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2">
      <c r="A14" s="82"/>
    </row>
    <row r="16" spans="1:52" ht="45.75" customHeight="1" x14ac:dyDescent="0.2"/>
    <row r="17" spans="5:5" ht="15.75" customHeight="1" x14ac:dyDescent="0.2">
      <c r="E17" s="53"/>
    </row>
    <row r="18" spans="5:5" ht="24" customHeight="1" x14ac:dyDescent="0.2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144</v>
      </c>
    </row>
    <row r="2" spans="1:2" x14ac:dyDescent="0.2">
      <c r="A2" s="82" t="s">
        <v>142</v>
      </c>
    </row>
    <row r="3" spans="1:2" s="1" customFormat="1" x14ac:dyDescent="0.2">
      <c r="A3" s="208"/>
      <c r="B3" s="208"/>
    </row>
    <row r="4" spans="1:2" s="82" customFormat="1" x14ac:dyDescent="0.2">
      <c r="A4" s="209" t="s">
        <v>143</v>
      </c>
      <c r="B4" s="209" t="s">
        <v>144</v>
      </c>
    </row>
    <row r="5" spans="1:2" x14ac:dyDescent="0.2">
      <c r="A5" s="210" t="s">
        <v>381</v>
      </c>
      <c r="B5" s="211" t="s">
        <v>384</v>
      </c>
    </row>
    <row r="6" spans="1:2" x14ac:dyDescent="0.2">
      <c r="A6" s="210" t="s">
        <v>382</v>
      </c>
      <c r="B6" s="211" t="s">
        <v>385</v>
      </c>
    </row>
    <row r="7" spans="1:2" x14ac:dyDescent="0.2">
      <c r="A7" s="210" t="s">
        <v>386</v>
      </c>
      <c r="B7" s="211" t="s">
        <v>388</v>
      </c>
    </row>
    <row r="8" spans="1:2" x14ac:dyDescent="0.2">
      <c r="A8" s="210" t="s">
        <v>389</v>
      </c>
      <c r="B8" s="211" t="s">
        <v>393</v>
      </c>
    </row>
    <row r="9" spans="1:2" x14ac:dyDescent="0.2">
      <c r="A9" s="210" t="s">
        <v>392</v>
      </c>
      <c r="B9" s="212" t="s">
        <v>394</v>
      </c>
    </row>
    <row r="10" spans="1:2" x14ac:dyDescent="0.2">
      <c r="A10" s="210" t="s">
        <v>390</v>
      </c>
      <c r="B10" s="212" t="s">
        <v>395</v>
      </c>
    </row>
    <row r="11" spans="1:2" x14ac:dyDescent="0.2">
      <c r="A11" s="210" t="s">
        <v>396</v>
      </c>
      <c r="B11" s="211" t="s">
        <v>405</v>
      </c>
    </row>
    <row r="12" spans="1:2" x14ac:dyDescent="0.2">
      <c r="A12" s="210" t="s">
        <v>398</v>
      </c>
      <c r="B12" s="211" t="s">
        <v>401</v>
      </c>
    </row>
    <row r="13" spans="1:2" x14ac:dyDescent="0.2">
      <c r="A13" s="210" t="s">
        <v>400</v>
      </c>
      <c r="B13" s="211" t="s">
        <v>402</v>
      </c>
    </row>
    <row r="14" spans="1:2" x14ac:dyDescent="0.2">
      <c r="A14" s="210" t="s">
        <v>417</v>
      </c>
      <c r="B14" s="211" t="s">
        <v>403</v>
      </c>
    </row>
    <row r="15" spans="1:2" x14ac:dyDescent="0.2">
      <c r="A15" s="210" t="s">
        <v>404</v>
      </c>
      <c r="B15" s="211" t="s">
        <v>436</v>
      </c>
    </row>
    <row r="16" spans="1:2" x14ac:dyDescent="0.2">
      <c r="A16" s="210" t="s">
        <v>383</v>
      </c>
      <c r="B16" s="211" t="s">
        <v>509</v>
      </c>
    </row>
    <row r="17" spans="1:2" x14ac:dyDescent="0.2">
      <c r="A17" s="210" t="s">
        <v>387</v>
      </c>
      <c r="B17" s="211" t="s">
        <v>510</v>
      </c>
    </row>
    <row r="18" spans="1:2" x14ac:dyDescent="0.2">
      <c r="A18" s="210" t="s">
        <v>391</v>
      </c>
      <c r="B18" s="211" t="s">
        <v>511</v>
      </c>
    </row>
    <row r="19" spans="1:2" x14ac:dyDescent="0.2">
      <c r="A19" s="210" t="s">
        <v>437</v>
      </c>
      <c r="B19" s="211" t="s">
        <v>438</v>
      </c>
    </row>
    <row r="20" spans="1:2" x14ac:dyDescent="0.2">
      <c r="A20" s="210" t="s">
        <v>397</v>
      </c>
      <c r="B20" s="211" t="s">
        <v>512</v>
      </c>
    </row>
    <row r="21" spans="1:2" x14ac:dyDescent="0.2">
      <c r="A21" s="210" t="s">
        <v>399</v>
      </c>
      <c r="B21" s="211" t="s">
        <v>513</v>
      </c>
    </row>
    <row r="22" spans="1:2" x14ac:dyDescent="0.2">
      <c r="A22" s="210" t="s">
        <v>428</v>
      </c>
      <c r="B22" s="211" t="s">
        <v>430</v>
      </c>
    </row>
    <row r="23" spans="1:2" x14ac:dyDescent="0.2">
      <c r="A23" s="210" t="s">
        <v>429</v>
      </c>
      <c r="B23" s="211" t="s">
        <v>431</v>
      </c>
    </row>
    <row r="24" spans="1:2" x14ac:dyDescent="0.2">
      <c r="A24" s="210" t="s">
        <v>434</v>
      </c>
      <c r="B24" s="211" t="s">
        <v>435</v>
      </c>
    </row>
    <row r="25" spans="1:2" x14ac:dyDescent="0.2">
      <c r="A25" s="210" t="s">
        <v>406</v>
      </c>
      <c r="B25" s="211" t="s">
        <v>407</v>
      </c>
    </row>
    <row r="26" spans="1:2" x14ac:dyDescent="0.2">
      <c r="A26" s="210" t="s">
        <v>408</v>
      </c>
      <c r="B26" s="211" t="s">
        <v>409</v>
      </c>
    </row>
    <row r="27" spans="1:2" x14ac:dyDescent="0.2">
      <c r="A27" s="210" t="s">
        <v>410</v>
      </c>
      <c r="B27" s="211" t="s">
        <v>514</v>
      </c>
    </row>
    <row r="28" spans="1:2" x14ac:dyDescent="0.2">
      <c r="A28" s="210" t="s">
        <v>412</v>
      </c>
      <c r="B28" s="211" t="s">
        <v>515</v>
      </c>
    </row>
    <row r="29" spans="1:2" x14ac:dyDescent="0.2">
      <c r="A29" s="210" t="s">
        <v>411</v>
      </c>
      <c r="B29" s="211" t="s">
        <v>516</v>
      </c>
    </row>
    <row r="30" spans="1:2" x14ac:dyDescent="0.2">
      <c r="A30" s="210" t="s">
        <v>413</v>
      </c>
      <c r="B30" s="211" t="s">
        <v>416</v>
      </c>
    </row>
    <row r="31" spans="1:2" x14ac:dyDescent="0.2">
      <c r="A31" s="210" t="s">
        <v>414</v>
      </c>
      <c r="B31" s="211" t="s">
        <v>517</v>
      </c>
    </row>
    <row r="32" spans="1:2" x14ac:dyDescent="0.2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1" width="11.71093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8" t="str">
        <f>CONCATENATE("Industry Table 1  Employment by Industry Sector (SIC 2007), ",B$5,"-",F$5,", ",Info!B5)</f>
        <v>Industry Table 1  Employment by Industry Sector (SIC 2007), 2015-2035, South West</v>
      </c>
      <c r="L1" s="18" t="str">
        <f>CONCATENATE("Industry Table 1.1  Employment by Industry Sector (SIC 2007), ",B$5,"-",F$5,", ",Info!B5)</f>
        <v>Industry Table 1.1  Employment by Industry Sector (SIC 2007), 2015-2035, South West</v>
      </c>
    </row>
    <row r="2" spans="1:19" x14ac:dyDescent="0.2">
      <c r="A2" s="1" t="s">
        <v>531</v>
      </c>
      <c r="F2" s="15"/>
      <c r="J2" s="15" t="s">
        <v>35</v>
      </c>
    </row>
    <row r="3" spans="1:19" x14ac:dyDescent="0.2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2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2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79.554999999860328</v>
      </c>
      <c r="N5" s="11">
        <f t="shared" si="0"/>
        <v>85.439000000354525</v>
      </c>
      <c r="O5" s="11">
        <f t="shared" si="0"/>
        <v>98.602000000047752</v>
      </c>
      <c r="P5" s="11">
        <f t="shared" si="0"/>
        <v>100.27599999998823</v>
      </c>
      <c r="Q5" s="11">
        <f t="shared" si="0"/>
        <v>102.72099999935368</v>
      </c>
      <c r="R5" s="39">
        <f>IF(D$5-B$5 &lt;&gt; 0,(EXP(LN(D7/B7)/(D$5-B$5))-1)*100,0)</f>
        <v>4.3863347615075154</v>
      </c>
      <c r="S5" s="39">
        <f>F34</f>
        <v>0.27320606080696308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227.85299999965017</v>
      </c>
      <c r="N6" s="11">
        <f t="shared" si="0"/>
        <v>237.47200000023375</v>
      </c>
      <c r="O6" s="11">
        <f t="shared" si="0"/>
        <v>237.5010000003135</v>
      </c>
      <c r="P6" s="11">
        <f t="shared" si="0"/>
        <v>225.78700000207951</v>
      </c>
      <c r="Q6" s="11">
        <f t="shared" si="0"/>
        <v>210.03700000107335</v>
      </c>
      <c r="R6" s="39">
        <f t="shared" ref="R6:R10" si="1">IF(D$5-B$5 &lt;&gt; 0,(EXP(LN(D8/B8)/(D$5-B$5))-1)*100,0)</f>
        <v>0.83287223850518899</v>
      </c>
      <c r="S6" s="39">
        <f t="shared" ref="S6:S12" si="2">F35</f>
        <v>-0.81590744730979381</v>
      </c>
    </row>
    <row r="7" spans="1:19" x14ac:dyDescent="0.2">
      <c r="A7" t="str">
        <f>name!C4</f>
        <v>Primary sector and utilities</v>
      </c>
      <c r="B7" s="11">
        <f t="array" ref="B7:B12">MMULT(aggregation!$B$28:$BX$33,'Ind T3'!B5:B79)</f>
        <v>79.554999999860328</v>
      </c>
      <c r="C7" s="11">
        <f t="array" ref="C7:C12">MMULT(aggregation!$B$28:$BX$33,'Ind T3'!C5:C79)</f>
        <v>85.439000000354525</v>
      </c>
      <c r="D7" s="11">
        <f t="array" ref="D7:D12">MMULT(aggregation!$B$28:$BX$33,'Ind T3'!D5:D79)</f>
        <v>98.602000000047752</v>
      </c>
      <c r="E7" s="11">
        <f t="array" ref="E7:E12">MMULT(aggregation!$B$28:$BX$33,'Ind T3'!E5:E79)</f>
        <v>100.27599999998823</v>
      </c>
      <c r="F7" s="11">
        <f t="array" ref="F7:F12">MMULT(aggregation!$B$28:$BX$33,'Ind T3'!F5:F79)</f>
        <v>102.72099999935368</v>
      </c>
      <c r="G7" s="11"/>
      <c r="H7" s="11">
        <f>F7-D7</f>
        <v>4.1189999993059274</v>
      </c>
      <c r="I7" s="11">
        <f t="array" ref="I7:I12">MMULT(aggregation!$B$28:$BX$33,'RD T1'!AB7:AB81)</f>
        <v>47.247646729520312</v>
      </c>
      <c r="J7" s="11">
        <f>SUM(H7:I7)</f>
        <v>51.36664672882624</v>
      </c>
      <c r="K7" s="11"/>
      <c r="L7" t="str">
        <f t="shared" si="0"/>
        <v>Construction</v>
      </c>
      <c r="M7" s="11">
        <f t="shared" si="0"/>
        <v>196.54299999680481</v>
      </c>
      <c r="N7" s="11">
        <f t="shared" si="0"/>
        <v>228.11900000249298</v>
      </c>
      <c r="O7" s="11">
        <f t="shared" si="0"/>
        <v>224.53699999893024</v>
      </c>
      <c r="P7" s="11">
        <f t="shared" si="0"/>
        <v>243.5649999935537</v>
      </c>
      <c r="Q7" s="11">
        <f t="shared" si="0"/>
        <v>269.70699999639885</v>
      </c>
      <c r="R7" s="39">
        <f t="shared" si="1"/>
        <v>2.6989650497885709</v>
      </c>
      <c r="S7" s="39">
        <f t="shared" si="2"/>
        <v>1.2294677741013338</v>
      </c>
    </row>
    <row r="8" spans="1:19" x14ac:dyDescent="0.2">
      <c r="A8" t="str">
        <f>name!C5</f>
        <v>Manufacturing</v>
      </c>
      <c r="B8" s="11">
        <v>227.85299999965017</v>
      </c>
      <c r="C8" s="11">
        <v>237.47200000023375</v>
      </c>
      <c r="D8" s="11">
        <v>237.5010000003135</v>
      </c>
      <c r="E8" s="11">
        <v>225.78700000207951</v>
      </c>
      <c r="F8" s="11">
        <v>210.03700000107335</v>
      </c>
      <c r="G8" s="11"/>
      <c r="H8" s="11">
        <f t="shared" ref="H8:H12" si="3">F8-D8</f>
        <v>-27.463999999240144</v>
      </c>
      <c r="I8" s="11">
        <v>95.313181659439039</v>
      </c>
      <c r="J8" s="11">
        <f t="shared" ref="J8:J12" si="4">SUM(H8:I8)</f>
        <v>67.849181660198894</v>
      </c>
      <c r="K8" s="11"/>
      <c r="L8" t="str">
        <f t="shared" si="0"/>
        <v>Trade, accomod. and transport</v>
      </c>
      <c r="M8" s="11">
        <f t="shared" si="0"/>
        <v>756.45700000375086</v>
      </c>
      <c r="N8" s="11">
        <f t="shared" si="0"/>
        <v>798.28900001216675</v>
      </c>
      <c r="O8" s="11">
        <f t="shared" si="0"/>
        <v>796.18700001213915</v>
      </c>
      <c r="P8" s="11">
        <f t="shared" si="0"/>
        <v>820.05200002800905</v>
      </c>
      <c r="Q8" s="11">
        <f t="shared" si="0"/>
        <v>859.45200000068598</v>
      </c>
      <c r="R8" s="39">
        <f t="shared" si="1"/>
        <v>1.0290262721062815</v>
      </c>
      <c r="S8" s="39">
        <f t="shared" si="2"/>
        <v>0.51104067400875586</v>
      </c>
    </row>
    <row r="9" spans="1:19" x14ac:dyDescent="0.2">
      <c r="A9" t="str">
        <f>name!C6</f>
        <v>Construction</v>
      </c>
      <c r="B9" s="11">
        <v>196.54299999680481</v>
      </c>
      <c r="C9" s="11">
        <v>228.11900000249298</v>
      </c>
      <c r="D9" s="11">
        <v>224.53699999893024</v>
      </c>
      <c r="E9" s="11">
        <v>243.5649999935537</v>
      </c>
      <c r="F9" s="11">
        <v>269.70699999639885</v>
      </c>
      <c r="G9" s="11"/>
      <c r="H9" s="11">
        <f t="shared" si="3"/>
        <v>45.169999997468608</v>
      </c>
      <c r="I9" s="11">
        <v>103.7862646688796</v>
      </c>
      <c r="J9" s="11">
        <f t="shared" si="4"/>
        <v>148.9562646663482</v>
      </c>
      <c r="K9" s="11"/>
      <c r="L9" t="str">
        <f t="shared" si="0"/>
        <v>Business and other services</v>
      </c>
      <c r="M9" s="11">
        <f t="shared" si="0"/>
        <v>823.46400000028689</v>
      </c>
      <c r="N9" s="11">
        <f t="shared" si="0"/>
        <v>867.41799999604859</v>
      </c>
      <c r="O9" s="11">
        <f t="shared" si="0"/>
        <v>846.59999999271054</v>
      </c>
      <c r="P9" s="11">
        <f t="shared" si="0"/>
        <v>896.15000000098019</v>
      </c>
      <c r="Q9" s="11">
        <f t="shared" si="0"/>
        <v>955.25600000029215</v>
      </c>
      <c r="R9" s="39">
        <f t="shared" si="1"/>
        <v>0.55570826707398435</v>
      </c>
      <c r="S9" s="39">
        <f t="shared" si="2"/>
        <v>0.8082558215800173</v>
      </c>
    </row>
    <row r="10" spans="1:19" x14ac:dyDescent="0.2">
      <c r="A10" t="str">
        <f>name!C7</f>
        <v>Trade, accomod. and transport</v>
      </c>
      <c r="B10" s="11">
        <v>756.45700000375086</v>
      </c>
      <c r="C10" s="11">
        <v>798.28900001216675</v>
      </c>
      <c r="D10" s="11">
        <v>796.18700001213915</v>
      </c>
      <c r="E10" s="11">
        <v>820.05200002800905</v>
      </c>
      <c r="F10" s="11">
        <v>859.45200000068598</v>
      </c>
      <c r="G10" s="11"/>
      <c r="H10" s="11">
        <f t="shared" si="3"/>
        <v>63.264999988546833</v>
      </c>
      <c r="I10" s="11">
        <v>392.59139089023887</v>
      </c>
      <c r="J10" s="11">
        <f t="shared" si="4"/>
        <v>455.8563908787857</v>
      </c>
      <c r="K10" s="11"/>
      <c r="L10" t="str">
        <f t="shared" si="0"/>
        <v>Non-marketed services</v>
      </c>
      <c r="M10" s="11">
        <f t="shared" si="0"/>
        <v>733.97999999676074</v>
      </c>
      <c r="N10" s="11">
        <f t="shared" si="0"/>
        <v>745.36999998835552</v>
      </c>
      <c r="O10" s="11">
        <f t="shared" si="0"/>
        <v>726.15999999232406</v>
      </c>
      <c r="P10" s="11">
        <f t="shared" si="0"/>
        <v>772.82499996972399</v>
      </c>
      <c r="Q10" s="11">
        <f t="shared" si="0"/>
        <v>842.91999999948928</v>
      </c>
      <c r="R10" s="39">
        <f t="shared" si="1"/>
        <v>-0.21399877691297142</v>
      </c>
      <c r="S10" s="39">
        <f t="shared" si="2"/>
        <v>0.99896788844899831</v>
      </c>
    </row>
    <row r="11" spans="1:19" x14ac:dyDescent="0.2">
      <c r="A11" t="str">
        <f>name!C8</f>
        <v>Business and other services</v>
      </c>
      <c r="B11" s="11">
        <v>823.46400000028689</v>
      </c>
      <c r="C11" s="11">
        <v>867.41799999604859</v>
      </c>
      <c r="D11" s="11">
        <v>846.59999999271054</v>
      </c>
      <c r="E11" s="11">
        <v>896.15000000098019</v>
      </c>
      <c r="F11" s="11">
        <v>955.25600000029215</v>
      </c>
      <c r="G11" s="11"/>
      <c r="H11" s="11">
        <f t="shared" si="3"/>
        <v>108.65600000758161</v>
      </c>
      <c r="I11" s="11">
        <v>440.57461445585847</v>
      </c>
      <c r="J11" s="11">
        <f t="shared" si="4"/>
        <v>549.23061446344013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2">
      <c r="A12" t="str">
        <f>name!C9</f>
        <v>Non-marketed services</v>
      </c>
      <c r="B12" s="11">
        <v>733.97999999676074</v>
      </c>
      <c r="C12" s="11">
        <v>745.36999998835552</v>
      </c>
      <c r="D12" s="11">
        <v>726.15999999232406</v>
      </c>
      <c r="E12" s="11">
        <v>772.82499996972399</v>
      </c>
      <c r="F12" s="11">
        <v>842.91999999948928</v>
      </c>
      <c r="G12" s="11"/>
      <c r="H12" s="11">
        <f t="shared" si="3"/>
        <v>116.76000000716522</v>
      </c>
      <c r="I12" s="11">
        <v>419.2171654572424</v>
      </c>
      <c r="J12" s="11">
        <f t="shared" si="4"/>
        <v>535.97716546440756</v>
      </c>
      <c r="K12" s="11"/>
      <c r="L12" s="23" t="str">
        <f t="shared" ref="L12:Q12" si="5">A14</f>
        <v>All industries</v>
      </c>
      <c r="M12" s="33">
        <f t="shared" si="5"/>
        <v>2817.851999997114</v>
      </c>
      <c r="N12" s="33">
        <f t="shared" si="5"/>
        <v>2962.1069999996525</v>
      </c>
      <c r="O12" s="33">
        <f t="shared" si="5"/>
        <v>2929.5869999964657</v>
      </c>
      <c r="P12" s="33">
        <f t="shared" si="5"/>
        <v>3058.6549999943345</v>
      </c>
      <c r="Q12" s="33">
        <f t="shared" si="5"/>
        <v>3240.0929999972936</v>
      </c>
      <c r="R12" s="42">
        <f>IF(D$5-B$5 &lt;&gt; 0,(EXP(LN(D14/B14)/(D$5-B$5))-1)*100,0)</f>
        <v>0.78076348315760935</v>
      </c>
      <c r="S12" s="42">
        <f t="shared" si="2"/>
        <v>0.6738641534223655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3" t="str">
        <f>name!C3</f>
        <v>All industries</v>
      </c>
      <c r="B14" s="33">
        <f>SUM(B7:B12)</f>
        <v>2817.851999997114</v>
      </c>
      <c r="C14" s="33">
        <f t="shared" ref="C14:F14" si="6">SUM(C7:C12)</f>
        <v>2962.1069999996525</v>
      </c>
      <c r="D14" s="33">
        <f t="shared" si="6"/>
        <v>2929.5869999964657</v>
      </c>
      <c r="E14" s="33">
        <f t="shared" si="6"/>
        <v>3058.6549999943345</v>
      </c>
      <c r="F14" s="33">
        <f t="shared" si="6"/>
        <v>3240.0929999972936</v>
      </c>
      <c r="G14" s="33"/>
      <c r="H14" s="33">
        <f>SUM(H7:H12)</f>
        <v>310.50600000082807</v>
      </c>
      <c r="I14" s="33">
        <f>SUM(I7:I12)</f>
        <v>1498.7302638611786</v>
      </c>
      <c r="J14" s="33">
        <f t="shared" ref="J14" si="7">SUM(J7:J12)</f>
        <v>1809.2362638620068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2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2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2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2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2">
      <c r="A20" t="str">
        <f>$A$7</f>
        <v>Primary sector and utilities</v>
      </c>
      <c r="B20" s="17">
        <f>B7/B$14*100</f>
        <v>2.8232497661318554</v>
      </c>
      <c r="C20" s="17">
        <f>C7/C$14*100</f>
        <v>2.8843995169777643</v>
      </c>
      <c r="D20" s="17">
        <f>D7/D$14*100</f>
        <v>3.3657303913543686</v>
      </c>
      <c r="E20" s="17">
        <f>E7/E$14*100</f>
        <v>3.2784344752897585</v>
      </c>
      <c r="F20" s="17">
        <f>F7/F$14*100</f>
        <v>3.1703102349049694</v>
      </c>
      <c r="G20" s="17"/>
      <c r="H20" s="39">
        <f>IF(D7&gt;0,(H7/D7)*100,0)</f>
        <v>4.1774000520313308</v>
      </c>
      <c r="I20" s="39">
        <f>IF(D7&gt;0,(I7/D7)*100,0)</f>
        <v>47.917533852759</v>
      </c>
      <c r="J20" s="39">
        <f>IF(D7&gt;0,(J7/D7)*100,0)</f>
        <v>52.094933904790331</v>
      </c>
      <c r="K20" s="17"/>
      <c r="L20" s="11"/>
    </row>
    <row r="21" spans="1:12" x14ac:dyDescent="0.2">
      <c r="A21" t="str">
        <f>$A$8</f>
        <v>Manufacturing</v>
      </c>
      <c r="B21" s="17">
        <f t="shared" ref="B21:F27" si="8">B8/B$14*100</f>
        <v>8.0860527806245148</v>
      </c>
      <c r="C21" s="17">
        <f t="shared" si="8"/>
        <v>8.0169960099436519</v>
      </c>
      <c r="D21" s="17">
        <f t="shared" si="8"/>
        <v>8.1069789018247302</v>
      </c>
      <c r="E21" s="17">
        <f t="shared" si="8"/>
        <v>7.3819047915668072</v>
      </c>
      <c r="F21" s="17">
        <f t="shared" si="8"/>
        <v>6.4824373868666365</v>
      </c>
      <c r="G21" s="17"/>
      <c r="H21" s="39">
        <f t="shared" ref="H21:H25" si="9">IF(D8&gt;0,(H8/D8)*100,0)</f>
        <v>-11.563740783914128</v>
      </c>
      <c r="I21" s="39">
        <f t="shared" ref="I21:I25" si="10">IF(D8&gt;0,(I8/D8)*100,0)</f>
        <v>40.131696986249835</v>
      </c>
      <c r="J21" s="39">
        <f t="shared" ref="J21:J25" si="11">IF(D8&gt;0,(J8/D8)*100,0)</f>
        <v>28.567956202335708</v>
      </c>
      <c r="K21" s="17"/>
      <c r="L21" s="11"/>
    </row>
    <row r="22" spans="1:12" x14ac:dyDescent="0.2">
      <c r="A22" t="str">
        <f>$A$9</f>
        <v>Construction</v>
      </c>
      <c r="B22" s="17">
        <f t="shared" si="8"/>
        <v>6.9749227424650453</v>
      </c>
      <c r="C22" s="17">
        <f t="shared" si="8"/>
        <v>7.7012410423566644</v>
      </c>
      <c r="D22" s="17">
        <f t="shared" si="8"/>
        <v>7.6644591882473927</v>
      </c>
      <c r="E22" s="17">
        <f t="shared" si="8"/>
        <v>7.9631406613039006</v>
      </c>
      <c r="F22" s="17">
        <f t="shared" si="8"/>
        <v>8.3240511922535596</v>
      </c>
      <c r="G22" s="17"/>
      <c r="H22" s="39">
        <f t="shared" si="9"/>
        <v>20.116951770836796</v>
      </c>
      <c r="I22" s="39">
        <f t="shared" si="10"/>
        <v>46.222344054375924</v>
      </c>
      <c r="J22" s="39">
        <f t="shared" si="11"/>
        <v>66.339295825212716</v>
      </c>
      <c r="K22" s="17"/>
      <c r="L22" s="11"/>
    </row>
    <row r="23" spans="1:12" x14ac:dyDescent="0.2">
      <c r="A23" t="str">
        <f>$A$10</f>
        <v>Trade, accomod. and transport</v>
      </c>
      <c r="B23" s="17">
        <f t="shared" si="8"/>
        <v>26.845164331005517</v>
      </c>
      <c r="C23" s="17">
        <f t="shared" si="8"/>
        <v>26.950039279886255</v>
      </c>
      <c r="D23" s="17">
        <f t="shared" si="8"/>
        <v>27.177448562309287</v>
      </c>
      <c r="E23" s="17">
        <f t="shared" si="8"/>
        <v>26.810869484447515</v>
      </c>
      <c r="F23" s="17">
        <f t="shared" si="8"/>
        <v>26.525534915244837</v>
      </c>
      <c r="G23" s="17"/>
      <c r="H23" s="39">
        <f t="shared" si="9"/>
        <v>7.9459976095543201</v>
      </c>
      <c r="I23" s="39">
        <f t="shared" si="10"/>
        <v>49.308942608238162</v>
      </c>
      <c r="J23" s="39">
        <f t="shared" si="11"/>
        <v>57.25494021779248</v>
      </c>
      <c r="K23" s="17"/>
      <c r="L23" s="11"/>
    </row>
    <row r="24" spans="1:12" x14ac:dyDescent="0.2">
      <c r="A24" t="str">
        <f>$A$11</f>
        <v>Business and other services</v>
      </c>
      <c r="B24" s="17">
        <f t="shared" si="8"/>
        <v>29.223110369214929</v>
      </c>
      <c r="C24" s="17">
        <f t="shared" si="8"/>
        <v>29.283817228619707</v>
      </c>
      <c r="D24" s="17">
        <f t="shared" si="8"/>
        <v>28.898271326085617</v>
      </c>
      <c r="E24" s="17">
        <f t="shared" si="8"/>
        <v>29.298825791161153</v>
      </c>
      <c r="F24" s="17">
        <f t="shared" si="8"/>
        <v>29.48236362354692</v>
      </c>
      <c r="G24" s="17"/>
      <c r="H24" s="39">
        <f t="shared" si="9"/>
        <v>12.834396410172118</v>
      </c>
      <c r="I24" s="39">
        <f t="shared" si="10"/>
        <v>52.040469461333792</v>
      </c>
      <c r="J24" s="39">
        <f t="shared" si="11"/>
        <v>64.874865871505932</v>
      </c>
      <c r="K24" s="17"/>
    </row>
    <row r="25" spans="1:12" x14ac:dyDescent="0.2">
      <c r="A25" t="str">
        <f>$A$12</f>
        <v>Non-marketed services</v>
      </c>
      <c r="B25" s="17">
        <f t="shared" si="8"/>
        <v>26.047500010558128</v>
      </c>
      <c r="C25" s="17">
        <f t="shared" si="8"/>
        <v>25.163506922215937</v>
      </c>
      <c r="D25" s="17">
        <f t="shared" si="8"/>
        <v>24.787111630178593</v>
      </c>
      <c r="E25" s="17">
        <f t="shared" si="8"/>
        <v>25.266824796230875</v>
      </c>
      <c r="F25" s="17">
        <f t="shared" si="8"/>
        <v>26.01530264718307</v>
      </c>
      <c r="G25" s="17"/>
      <c r="H25" s="39">
        <f t="shared" si="9"/>
        <v>16.079101025724281</v>
      </c>
      <c r="I25" s="39">
        <f t="shared" si="10"/>
        <v>57.730688203932154</v>
      </c>
      <c r="J25" s="39">
        <f t="shared" si="11"/>
        <v>73.809789229656431</v>
      </c>
      <c r="K25" s="17"/>
      <c r="L25" s="11"/>
    </row>
    <row r="26" spans="1:12" x14ac:dyDescent="0.2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2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10.598968387052601</v>
      </c>
      <c r="I27" s="42">
        <f>IF(D14&gt;0,(I14/D14)*100,0)</f>
        <v>51.158414611444783</v>
      </c>
      <c r="J27" s="42">
        <f>IF(D14&gt;0,(J14/D14)*100,0)</f>
        <v>61.757382998497377</v>
      </c>
      <c r="K27" s="17"/>
      <c r="L27" s="11"/>
    </row>
    <row r="28" spans="1:12" x14ac:dyDescent="0.2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2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2">
      <c r="B30" s="17"/>
      <c r="C30" s="17"/>
      <c r="D30" s="17"/>
      <c r="E30" s="17"/>
      <c r="F30" s="17"/>
      <c r="H30" s="17"/>
      <c r="I30" s="17"/>
      <c r="J30" s="17"/>
    </row>
    <row r="31" spans="1:12" ht="15.75" x14ac:dyDescent="0.25">
      <c r="A31" s="193" t="str">
        <f>CONCATENATE(A1," (Continued)")</f>
        <v>Industry Table 1  Employment by Industry Sector (SIC 2007), 2015-2035, South West (Continued)</v>
      </c>
      <c r="B31" s="17"/>
      <c r="C31" s="17"/>
      <c r="D31" s="17"/>
      <c r="E31" s="17"/>
      <c r="F31" s="17"/>
      <c r="G31" s="19"/>
      <c r="K31" s="19"/>
    </row>
    <row r="32" spans="1:12" x14ac:dyDescent="0.2">
      <c r="G32" s="17"/>
      <c r="H32" s="19"/>
      <c r="I32" s="19"/>
      <c r="J32" s="19"/>
      <c r="K32" s="17"/>
    </row>
    <row r="33" spans="1:11" x14ac:dyDescent="0.2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2">
      <c r="A34" t="str">
        <f>$A$7</f>
        <v>Primary sector and utilities</v>
      </c>
      <c r="B34" s="17">
        <f>IF(C$5-B$5 &lt;&gt; 0,(EXP(LN(C7/B7)/(C$5-B$5))-1)*100,0)</f>
        <v>1.7998572804779345</v>
      </c>
      <c r="C34" s="17">
        <f>IF(D$5-C$5 &lt;&gt; 0,(EXP(LN(D7/C7)/(D$5-C$5))-1)*100,0)</f>
        <v>15.406313275715554</v>
      </c>
      <c r="D34" s="17">
        <f>IF(E$5-D$5 &lt;&gt; 0,(EXP(LN(E7/D7)/(E$5-D$5))-1)*100,0)</f>
        <v>0.33726423634328206</v>
      </c>
      <c r="E34" s="17">
        <f>IF(F$5-E$5 &lt;&gt; 0,(EXP(LN(F7/E7)/(F$5-E$5))-1)*100,0)</f>
        <v>0.24119231088441939</v>
      </c>
      <c r="F34" s="17">
        <f>IF(F$5-D$5 &lt;&gt; 0,(EXP(LN(F7/D7)/(F$5-D$5))-1)*100,0)</f>
        <v>0.27320606080696308</v>
      </c>
      <c r="G34" s="17"/>
      <c r="H34" s="17"/>
      <c r="I34" s="17"/>
      <c r="J34" s="17"/>
      <c r="K34" s="17"/>
    </row>
    <row r="35" spans="1:11" x14ac:dyDescent="0.2">
      <c r="A35" t="str">
        <f>$A$8</f>
        <v>Manufacturing</v>
      </c>
      <c r="B35" s="17">
        <f t="shared" ref="B35:B41" si="12">IF(C$5-B$5 &lt;&gt; 0,(EXP(LN(C8/B8)/(C$5-B$5))-1)*100,0)</f>
        <v>1.0390873450018434</v>
      </c>
      <c r="C35" s="17">
        <f t="shared" ref="C35:C41" si="13">IF(D$5-C$5 &lt;&gt; 0,(EXP(LN(D8/C8)/(D$5-C$5))-1)*100,0)</f>
        <v>1.2211966075881264E-2</v>
      </c>
      <c r="D35" s="17">
        <f t="shared" ref="D35:E39" si="14">IF(E$5-D$5 &lt;&gt; 0,(EXP(LN(E8/D8)/(E$5-D$5))-1)*100,0)</f>
        <v>-1.0064957259829033</v>
      </c>
      <c r="E35" s="17">
        <f t="shared" si="14"/>
        <v>-0.72047575256563023</v>
      </c>
      <c r="F35" s="17">
        <f t="shared" ref="F35:F41" si="15">IF(F$5-D$5 &lt;&gt; 0,(EXP(LN(F8/D8)/(F$5-D$5))-1)*100,0)</f>
        <v>-0.81590744730979381</v>
      </c>
      <c r="G35" s="17"/>
      <c r="H35" s="17"/>
      <c r="I35" s="17"/>
      <c r="J35" s="17"/>
      <c r="K35" s="17"/>
    </row>
    <row r="36" spans="1:11" x14ac:dyDescent="0.2">
      <c r="A36" t="str">
        <f>$A$9</f>
        <v>Construction</v>
      </c>
      <c r="B36" s="17">
        <f t="shared" si="12"/>
        <v>3.7948891899535653</v>
      </c>
      <c r="C36" s="17">
        <f t="shared" si="13"/>
        <v>-1.570233081647554</v>
      </c>
      <c r="D36" s="17">
        <f t="shared" si="14"/>
        <v>1.6401723961841919</v>
      </c>
      <c r="E36" s="17">
        <f t="shared" si="14"/>
        <v>1.0247382190043064</v>
      </c>
      <c r="F36" s="17">
        <f t="shared" si="15"/>
        <v>1.2294677741013338</v>
      </c>
      <c r="G36" s="17"/>
      <c r="H36" s="17"/>
      <c r="I36" s="17"/>
      <c r="J36" s="17"/>
      <c r="K36" s="17"/>
    </row>
    <row r="37" spans="1:11" x14ac:dyDescent="0.2">
      <c r="A37" t="str">
        <f>$A$10</f>
        <v>Trade, accomod. and transport</v>
      </c>
      <c r="B37" s="17">
        <f t="shared" si="12"/>
        <v>1.3547191875031173</v>
      </c>
      <c r="C37" s="17">
        <f t="shared" si="13"/>
        <v>-0.26331316102258251</v>
      </c>
      <c r="D37" s="17">
        <f t="shared" si="14"/>
        <v>0.5924213155993785</v>
      </c>
      <c r="E37" s="17">
        <f t="shared" si="14"/>
        <v>0.4703750458120437</v>
      </c>
      <c r="F37" s="17">
        <f t="shared" si="15"/>
        <v>0.51104067400875586</v>
      </c>
      <c r="G37" s="17"/>
      <c r="H37" s="17"/>
      <c r="I37" s="17"/>
      <c r="J37" s="17"/>
      <c r="K37" s="17"/>
    </row>
    <row r="38" spans="1:11" x14ac:dyDescent="0.2">
      <c r="A38" t="str">
        <f>$A$11</f>
        <v>Business and other services</v>
      </c>
      <c r="B38" s="17">
        <f t="shared" si="12"/>
        <v>1.3085158631267468</v>
      </c>
      <c r="C38" s="17">
        <f t="shared" si="13"/>
        <v>-2.3999963112862455</v>
      </c>
      <c r="D38" s="17">
        <f t="shared" si="14"/>
        <v>1.1440847889083505</v>
      </c>
      <c r="E38" s="17">
        <f t="shared" si="14"/>
        <v>0.64075971477124405</v>
      </c>
      <c r="F38" s="17">
        <f t="shared" si="15"/>
        <v>0.8082558215800173</v>
      </c>
      <c r="G38" s="17"/>
      <c r="H38" s="17"/>
      <c r="I38" s="17"/>
      <c r="J38" s="17"/>
      <c r="K38" s="17"/>
    </row>
    <row r="39" spans="1:11" x14ac:dyDescent="0.2">
      <c r="A39" t="str">
        <f>$A$12</f>
        <v>Non-marketed services</v>
      </c>
      <c r="B39" s="17">
        <f t="shared" si="12"/>
        <v>0.38571595389456093</v>
      </c>
      <c r="C39" s="17">
        <f t="shared" si="13"/>
        <v>-2.5772435161505736</v>
      </c>
      <c r="D39" s="17">
        <f t="shared" si="14"/>
        <v>1.2534355929300967</v>
      </c>
      <c r="E39" s="17">
        <f t="shared" si="14"/>
        <v>0.87197395755331808</v>
      </c>
      <c r="F39" s="17">
        <f t="shared" si="15"/>
        <v>0.99896788844899831</v>
      </c>
      <c r="G39" s="17"/>
      <c r="H39" s="17"/>
      <c r="I39" s="17"/>
      <c r="J39" s="17"/>
      <c r="K39" s="17"/>
    </row>
    <row r="40" spans="1:11" x14ac:dyDescent="0.2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2">
      <c r="A41" t="str">
        <f>$A$14</f>
        <v>All industries</v>
      </c>
      <c r="B41" s="17">
        <f t="shared" si="12"/>
        <v>1.2559705559315626</v>
      </c>
      <c r="C41" s="17">
        <f t="shared" si="13"/>
        <v>-1.0978671602069334</v>
      </c>
      <c r="D41" s="17">
        <f>IF(E$5-D$5 &lt;&gt; 0,(EXP(LN(E14/D14)/(E$5-D$5))-1)*100,0)</f>
        <v>0.86600469906554789</v>
      </c>
      <c r="E41" s="17">
        <f>IF(F$5-E$5 &lt;&gt; 0,(EXP(LN(F14/E14)/(F$5-E$5))-1)*100,0)</f>
        <v>0.57793117804305627</v>
      </c>
      <c r="F41" s="17">
        <f t="shared" si="15"/>
        <v>0.6738641534223655</v>
      </c>
      <c r="H41" s="17"/>
      <c r="I41" s="17"/>
      <c r="J41" s="17"/>
    </row>
    <row r="42" spans="1:11" x14ac:dyDescent="0.2">
      <c r="B42" s="17"/>
      <c r="C42" s="17"/>
      <c r="D42" s="17"/>
      <c r="E42" s="17"/>
      <c r="F42" s="17"/>
      <c r="G42" s="19"/>
      <c r="K42" s="19"/>
    </row>
    <row r="43" spans="1:11" x14ac:dyDescent="0.2">
      <c r="G43" s="26"/>
      <c r="H43" s="19"/>
      <c r="I43" s="19"/>
      <c r="J43" s="19"/>
      <c r="K43" s="26"/>
    </row>
    <row r="44" spans="1:11" x14ac:dyDescent="0.2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2">
      <c r="A45" t="str">
        <f>$A$7</f>
        <v>Primary sector and utilities</v>
      </c>
      <c r="B45" s="26">
        <f>C7-B7</f>
        <v>5.884000000494197</v>
      </c>
      <c r="C45" s="26">
        <f>D7-C7</f>
        <v>13.162999999693227</v>
      </c>
      <c r="D45" s="26">
        <f>E7-D7</f>
        <v>1.6739999999404773</v>
      </c>
      <c r="E45" s="26">
        <f>F7-E7</f>
        <v>2.4449999993654501</v>
      </c>
      <c r="F45" s="26">
        <f>F7-D7</f>
        <v>4.1189999993059274</v>
      </c>
      <c r="G45" s="26"/>
      <c r="H45" s="26"/>
      <c r="I45" s="26"/>
      <c r="J45" s="26"/>
      <c r="K45" s="26"/>
    </row>
    <row r="46" spans="1:11" x14ac:dyDescent="0.2">
      <c r="A46" t="str">
        <f>$A$8</f>
        <v>Manufacturing</v>
      </c>
      <c r="B46" s="26">
        <f t="shared" ref="B46:E52" si="16">C8-B8</f>
        <v>9.6190000005835827</v>
      </c>
      <c r="C46" s="26">
        <f>D8-C8</f>
        <v>2.9000000079747679E-2</v>
      </c>
      <c r="D46" s="26">
        <f t="shared" si="16"/>
        <v>-11.713999998233987</v>
      </c>
      <c r="E46" s="26">
        <f t="shared" si="16"/>
        <v>-15.750000001006157</v>
      </c>
      <c r="F46" s="26">
        <f t="shared" ref="F46:F52" si="17">F8-D8</f>
        <v>-27.463999999240144</v>
      </c>
      <c r="G46" s="26"/>
      <c r="H46" s="26"/>
      <c r="I46" s="26"/>
      <c r="J46" s="26"/>
      <c r="K46" s="26"/>
    </row>
    <row r="47" spans="1:11" x14ac:dyDescent="0.2">
      <c r="A47" t="str">
        <f>$A$9</f>
        <v>Construction</v>
      </c>
      <c r="B47" s="26">
        <f t="shared" si="16"/>
        <v>31.576000005688172</v>
      </c>
      <c r="C47" s="26">
        <f t="shared" ref="C47:C50" si="18">D9-C9</f>
        <v>-3.5820000035627402</v>
      </c>
      <c r="D47" s="26">
        <f t="shared" si="16"/>
        <v>19.027999994623457</v>
      </c>
      <c r="E47" s="26">
        <f t="shared" si="16"/>
        <v>26.142000002845151</v>
      </c>
      <c r="F47" s="26">
        <f t="shared" si="17"/>
        <v>45.169999997468608</v>
      </c>
      <c r="G47" s="26"/>
      <c r="H47" s="26"/>
      <c r="I47" s="26"/>
      <c r="J47" s="26"/>
      <c r="K47" s="26"/>
    </row>
    <row r="48" spans="1:11" x14ac:dyDescent="0.2">
      <c r="A48" t="str">
        <f>$A$10</f>
        <v>Trade, accomod. and transport</v>
      </c>
      <c r="B48" s="26">
        <f t="shared" si="16"/>
        <v>41.832000008415889</v>
      </c>
      <c r="C48" s="26">
        <f t="shared" si="18"/>
        <v>-2.1020000000276013</v>
      </c>
      <c r="D48" s="26">
        <f t="shared" si="16"/>
        <v>23.865000015869896</v>
      </c>
      <c r="E48" s="26">
        <f t="shared" si="16"/>
        <v>39.399999972676937</v>
      </c>
      <c r="F48" s="26">
        <f t="shared" si="17"/>
        <v>63.264999988546833</v>
      </c>
      <c r="G48" s="26"/>
      <c r="H48" s="26"/>
      <c r="I48" s="26"/>
      <c r="J48" s="26"/>
      <c r="K48" s="26"/>
    </row>
    <row r="49" spans="1:11" x14ac:dyDescent="0.2">
      <c r="A49" t="str">
        <f>$A$11</f>
        <v>Business and other services</v>
      </c>
      <c r="B49" s="26">
        <f t="shared" si="16"/>
        <v>43.953999995761706</v>
      </c>
      <c r="C49" s="26">
        <f t="shared" si="18"/>
        <v>-20.818000003338057</v>
      </c>
      <c r="D49" s="26">
        <f t="shared" si="16"/>
        <v>49.550000008269649</v>
      </c>
      <c r="E49" s="26">
        <f t="shared" si="16"/>
        <v>59.105999999311962</v>
      </c>
      <c r="F49" s="26">
        <f t="shared" si="17"/>
        <v>108.65600000758161</v>
      </c>
      <c r="G49" s="26"/>
      <c r="H49" s="26"/>
      <c r="I49" s="26"/>
      <c r="J49" s="26"/>
      <c r="K49" s="26"/>
    </row>
    <row r="50" spans="1:11" x14ac:dyDescent="0.2">
      <c r="A50" t="str">
        <f>$A$12</f>
        <v>Non-marketed services</v>
      </c>
      <c r="B50" s="26">
        <f t="shared" si="16"/>
        <v>11.389999991594777</v>
      </c>
      <c r="C50" s="26">
        <f t="shared" si="18"/>
        <v>-19.209999996031456</v>
      </c>
      <c r="D50" s="26">
        <f t="shared" si="16"/>
        <v>46.66499997739993</v>
      </c>
      <c r="E50" s="26">
        <f t="shared" si="16"/>
        <v>70.095000029765288</v>
      </c>
      <c r="F50" s="26">
        <f t="shared" si="17"/>
        <v>116.76000000716522</v>
      </c>
      <c r="G50" s="26"/>
      <c r="H50" s="26"/>
      <c r="I50" s="26"/>
      <c r="J50" s="26"/>
      <c r="K50" s="26"/>
    </row>
    <row r="51" spans="1:11" x14ac:dyDescent="0.2">
      <c r="B51" s="26"/>
      <c r="C51" s="26"/>
      <c r="D51" s="26"/>
      <c r="E51" s="26"/>
      <c r="F51" s="26"/>
      <c r="H51" s="26"/>
      <c r="I51" s="26"/>
      <c r="J51" s="26"/>
    </row>
    <row r="52" spans="1:11" x14ac:dyDescent="0.2">
      <c r="A52" s="23" t="str">
        <f>$A$14</f>
        <v>All industries</v>
      </c>
      <c r="B52" s="28">
        <f>C14-B14</f>
        <v>144.25500000253851</v>
      </c>
      <c r="C52" s="28">
        <f>D14-C14</f>
        <v>-32.520000003186851</v>
      </c>
      <c r="D52" s="28">
        <f t="shared" si="16"/>
        <v>129.06799999786881</v>
      </c>
      <c r="E52" s="28">
        <f t="shared" si="16"/>
        <v>181.43800000295914</v>
      </c>
      <c r="F52" s="28">
        <f t="shared" si="17"/>
        <v>310.50600000082795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2  Employment by Industry Group (SIC 2007), ",B$3,"-",F$3,", ",Info!B5)</f>
        <v>Industry Table 2  Employment by Industry Group (SIC 2007), 2015-2035, South West</v>
      </c>
    </row>
    <row r="2" spans="1:7" x14ac:dyDescent="0.2">
      <c r="A2" s="1" t="s">
        <v>532</v>
      </c>
    </row>
    <row r="3" spans="1:7" x14ac:dyDescent="0.2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f t="array" ref="B5:B26">MMULT(aggregation!$B$3:$BX$24,'Ind T3'!B5:B79)</f>
        <v>47.735999999941654</v>
      </c>
      <c r="C5" s="11">
        <f t="array" ref="C5:C26">MMULT(aggregation!$B$3:$BX$24,'Ind T3'!C5:C79)</f>
        <v>47.696000000365181</v>
      </c>
      <c r="D5" s="11">
        <f t="array" ref="D5:D26">MMULT(aggregation!$B$3:$BX$24,'Ind T3'!D5:D79)</f>
        <v>58.314000000000618</v>
      </c>
      <c r="E5" s="11">
        <f t="array" ref="E5:E26">MMULT(aggregation!$B$3:$BX$24,'Ind T3'!E5:E79)</f>
        <v>60.366999999567113</v>
      </c>
      <c r="F5" s="11">
        <f t="array" ref="F5:F26">MMULT(aggregation!$B$3:$BX$24,'Ind T3'!F5:F79)</f>
        <v>62.039999999227852</v>
      </c>
      <c r="G5" s="10"/>
    </row>
    <row r="6" spans="1:7" x14ac:dyDescent="0.2">
      <c r="A6" s="10" t="str">
        <f>name!B5</f>
        <v>Mining and quarrying</v>
      </c>
      <c r="B6" s="11">
        <v>4.6809999999860983</v>
      </c>
      <c r="C6" s="11">
        <v>3.4759999999958771</v>
      </c>
      <c r="D6" s="11">
        <v>3.522000000009839</v>
      </c>
      <c r="E6" s="11">
        <v>2.7410000000203789</v>
      </c>
      <c r="F6" s="11">
        <v>1.8950000000172895</v>
      </c>
    </row>
    <row r="7" spans="1:7" x14ac:dyDescent="0.2">
      <c r="A7" s="10" t="str">
        <f>name!B6</f>
        <v>Food drink and tobacco</v>
      </c>
      <c r="B7" s="11">
        <v>35.168999999962189</v>
      </c>
      <c r="C7" s="11">
        <v>34.708000000168767</v>
      </c>
      <c r="D7" s="11">
        <v>35.4290000002201</v>
      </c>
      <c r="E7" s="11">
        <v>33.077000000638492</v>
      </c>
      <c r="F7" s="11">
        <v>27.499000000160599</v>
      </c>
      <c r="G7" s="11"/>
    </row>
    <row r="8" spans="1:7" x14ac:dyDescent="0.2">
      <c r="A8" s="10" t="str">
        <f>name!B7</f>
        <v>Engineering</v>
      </c>
      <c r="B8" s="11">
        <v>43.699999999860829</v>
      </c>
      <c r="C8" s="11">
        <v>43.207999999971001</v>
      </c>
      <c r="D8" s="11">
        <v>42.102999999961355</v>
      </c>
      <c r="E8" s="11">
        <v>40.544000000358835</v>
      </c>
      <c r="F8" s="11">
        <v>33.749000000190293</v>
      </c>
      <c r="G8" s="11"/>
    </row>
    <row r="9" spans="1:7" x14ac:dyDescent="0.2">
      <c r="A9" s="10" t="str">
        <f>name!B8</f>
        <v>Rest of manufacturing</v>
      </c>
      <c r="B9" s="11">
        <v>148.98399999982718</v>
      </c>
      <c r="C9" s="11">
        <v>159.55600000009395</v>
      </c>
      <c r="D9" s="11">
        <v>159.96900000013201</v>
      </c>
      <c r="E9" s="11">
        <v>152.16600000108218</v>
      </c>
      <c r="F9" s="11">
        <v>148.78900000072247</v>
      </c>
      <c r="G9" s="11"/>
    </row>
    <row r="10" spans="1:7" x14ac:dyDescent="0.2">
      <c r="A10" s="10" t="str">
        <f>name!B9</f>
        <v>Electricity and gas</v>
      </c>
      <c r="B10" s="11">
        <v>7.0339999999593914</v>
      </c>
      <c r="C10" s="11">
        <v>11.115999999992283</v>
      </c>
      <c r="D10" s="11">
        <v>15.351999999954746</v>
      </c>
      <c r="E10" s="11">
        <v>14.492000000170153</v>
      </c>
      <c r="F10" s="11">
        <v>14.067999999897655</v>
      </c>
      <c r="G10" s="11"/>
    </row>
    <row r="11" spans="1:7" x14ac:dyDescent="0.2">
      <c r="A11" s="10" t="str">
        <f>name!B10</f>
        <v>Water and sewerage</v>
      </c>
      <c r="B11" s="11">
        <v>20.103999999973176</v>
      </c>
      <c r="C11" s="11">
        <v>23.151000000001176</v>
      </c>
      <c r="D11" s="11">
        <v>21.414000000082535</v>
      </c>
      <c r="E11" s="11">
        <v>22.676000000230591</v>
      </c>
      <c r="F11" s="11">
        <v>24.718000000210878</v>
      </c>
      <c r="G11" s="11"/>
    </row>
    <row r="12" spans="1:7" x14ac:dyDescent="0.2">
      <c r="A12" s="10" t="str">
        <f>name!B11</f>
        <v>Construction</v>
      </c>
      <c r="B12" s="11">
        <v>196.54299999680481</v>
      </c>
      <c r="C12" s="11">
        <v>228.11900000249298</v>
      </c>
      <c r="D12" s="11">
        <v>224.53699999893024</v>
      </c>
      <c r="E12" s="11">
        <v>243.5649999935537</v>
      </c>
      <c r="F12" s="11">
        <v>269.70699999639885</v>
      </c>
      <c r="G12" s="11"/>
    </row>
    <row r="13" spans="1:7" x14ac:dyDescent="0.2">
      <c r="A13" s="10" t="str">
        <f>name!B12</f>
        <v>Wholesale and retail trade</v>
      </c>
      <c r="B13" s="11">
        <v>426.89000000290804</v>
      </c>
      <c r="C13" s="11">
        <v>426.22400000767186</v>
      </c>
      <c r="D13" s="11">
        <v>434.84900000751452</v>
      </c>
      <c r="E13" s="11">
        <v>436.71000001629199</v>
      </c>
      <c r="F13" s="11">
        <v>439.50300000112668</v>
      </c>
      <c r="G13" s="11"/>
    </row>
    <row r="14" spans="1:7" x14ac:dyDescent="0.2">
      <c r="A14" s="10" t="str">
        <f>name!B13</f>
        <v>Transport and storage</v>
      </c>
      <c r="B14" s="11">
        <v>112.92500000019085</v>
      </c>
      <c r="C14" s="11">
        <v>111.56700000009519</v>
      </c>
      <c r="D14" s="11">
        <v>110.01100000134025</v>
      </c>
      <c r="E14" s="11">
        <v>113.42100000278673</v>
      </c>
      <c r="F14" s="11">
        <v>113.54800000141022</v>
      </c>
      <c r="G14" s="11"/>
    </row>
    <row r="15" spans="1:7" x14ac:dyDescent="0.2">
      <c r="A15" s="10" t="str">
        <f>name!B14</f>
        <v>Accommodation and food</v>
      </c>
      <c r="B15" s="11">
        <v>216.64200000065208</v>
      </c>
      <c r="C15" s="11">
        <v>260.49800000439961</v>
      </c>
      <c r="D15" s="11">
        <v>251.32700000328433</v>
      </c>
      <c r="E15" s="11">
        <v>269.92100000893032</v>
      </c>
      <c r="F15" s="11">
        <v>306.40099999814913</v>
      </c>
      <c r="G15" s="11"/>
    </row>
    <row r="16" spans="1:7" x14ac:dyDescent="0.2">
      <c r="A16" s="10" t="str">
        <f>name!B15</f>
        <v>Media</v>
      </c>
      <c r="B16" s="11">
        <v>16.059000000106227</v>
      </c>
      <c r="C16" s="11">
        <v>23.416999999887029</v>
      </c>
      <c r="D16" s="11">
        <v>21.507999999811087</v>
      </c>
      <c r="E16" s="11">
        <v>20.82799999995634</v>
      </c>
      <c r="F16" s="11">
        <v>20.314000000065871</v>
      </c>
      <c r="G16" s="11"/>
    </row>
    <row r="17" spans="1:7" x14ac:dyDescent="0.2">
      <c r="A17" s="10" t="str">
        <f>name!B16</f>
        <v>Information technology</v>
      </c>
      <c r="B17" s="11">
        <v>75.578999999644935</v>
      </c>
      <c r="C17" s="11">
        <v>69.279999999191404</v>
      </c>
      <c r="D17" s="11">
        <v>67.076999998766766</v>
      </c>
      <c r="E17" s="11">
        <v>70.876999999444095</v>
      </c>
      <c r="F17" s="11">
        <v>74.937999998995338</v>
      </c>
      <c r="G17" s="11"/>
    </row>
    <row r="18" spans="1:7" x14ac:dyDescent="0.2">
      <c r="A18" s="10" t="str">
        <f>name!B17</f>
        <v>Finance and insurance</v>
      </c>
      <c r="B18" s="11">
        <v>87.282999999513919</v>
      </c>
      <c r="C18" s="11">
        <v>77.346999999310384</v>
      </c>
      <c r="D18" s="11">
        <v>86.266999998916845</v>
      </c>
      <c r="E18" s="11">
        <v>86.220000000026459</v>
      </c>
      <c r="F18" s="11">
        <v>82.849999999566734</v>
      </c>
      <c r="G18" s="11"/>
    </row>
    <row r="19" spans="1:7" x14ac:dyDescent="0.2">
      <c r="A19" s="10" t="str">
        <f>name!B18</f>
        <v>Real estate</v>
      </c>
      <c r="B19" s="11">
        <v>51.210999999881601</v>
      </c>
      <c r="C19" s="11">
        <v>55.55400000008057</v>
      </c>
      <c r="D19" s="11">
        <v>57.623999999695421</v>
      </c>
      <c r="E19" s="11">
        <v>51.782000000391605</v>
      </c>
      <c r="F19" s="11">
        <v>52.122999999801053</v>
      </c>
      <c r="G19" s="11"/>
    </row>
    <row r="20" spans="1:7" x14ac:dyDescent="0.2">
      <c r="A20" s="10" t="str">
        <f>name!B19</f>
        <v>Professional services</v>
      </c>
      <c r="B20" s="11">
        <v>235.29199999952161</v>
      </c>
      <c r="C20" s="11">
        <v>262.60599999601567</v>
      </c>
      <c r="D20" s="11">
        <v>256.70799999545994</v>
      </c>
      <c r="E20" s="11">
        <v>271.15499999747266</v>
      </c>
      <c r="F20" s="11">
        <v>292.39199999941894</v>
      </c>
      <c r="G20" s="11"/>
    </row>
    <row r="21" spans="1:7" x14ac:dyDescent="0.2">
      <c r="A21" s="10" t="str">
        <f>name!B20</f>
        <v>Support services</v>
      </c>
      <c r="B21" s="11">
        <v>200.57000000032983</v>
      </c>
      <c r="C21" s="11">
        <v>204.11500000118673</v>
      </c>
      <c r="D21" s="11">
        <v>197.53200000062296</v>
      </c>
      <c r="E21" s="11">
        <v>218.57200000236838</v>
      </c>
      <c r="F21" s="11">
        <v>239.20700000090218</v>
      </c>
      <c r="G21" s="11"/>
    </row>
    <row r="22" spans="1:7" x14ac:dyDescent="0.2">
      <c r="A22" s="10" t="str">
        <f>name!B21</f>
        <v>Public admin. and defence</v>
      </c>
      <c r="B22" s="11">
        <v>100.1109999998435</v>
      </c>
      <c r="C22" s="11">
        <v>102.72299999914765</v>
      </c>
      <c r="D22" s="11">
        <v>108.89599999894065</v>
      </c>
      <c r="E22" s="11">
        <v>114.74699999841178</v>
      </c>
      <c r="F22" s="11">
        <v>117.07899999978541</v>
      </c>
      <c r="G22" s="11"/>
    </row>
    <row r="23" spans="1:7" x14ac:dyDescent="0.2">
      <c r="A23" s="10" t="str">
        <f>name!B22</f>
        <v>Education</v>
      </c>
      <c r="B23" s="11">
        <v>240.68400000146443</v>
      </c>
      <c r="C23" s="11">
        <v>251.84399999475124</v>
      </c>
      <c r="D23" s="11">
        <v>241.88599999586123</v>
      </c>
      <c r="E23" s="11">
        <v>246.96599997720921</v>
      </c>
      <c r="F23" s="11">
        <v>261.08100000144287</v>
      </c>
      <c r="G23" s="11"/>
    </row>
    <row r="24" spans="1:7" x14ac:dyDescent="0.2">
      <c r="A24" s="10" t="str">
        <f>name!B23</f>
        <v>Health and social work</v>
      </c>
      <c r="B24" s="11">
        <v>393.18499999545281</v>
      </c>
      <c r="C24" s="11">
        <v>390.80299999445668</v>
      </c>
      <c r="D24" s="11">
        <v>375.37799999752207</v>
      </c>
      <c r="E24" s="11">
        <v>411.11199999410314</v>
      </c>
      <c r="F24" s="11">
        <v>464.75999999826104</v>
      </c>
      <c r="G24" s="11"/>
    </row>
    <row r="25" spans="1:7" x14ac:dyDescent="0.2">
      <c r="A25" s="10" t="str">
        <f>name!B24</f>
        <v>Arts and entertainment</v>
      </c>
      <c r="B25" s="11">
        <v>84.311000000941021</v>
      </c>
      <c r="C25" s="11">
        <v>91.03600000002406</v>
      </c>
      <c r="D25" s="11">
        <v>82.259999999820252</v>
      </c>
      <c r="E25" s="11">
        <v>96.236000000764335</v>
      </c>
      <c r="F25" s="11">
        <v>110.89700000135923</v>
      </c>
      <c r="G25" s="11"/>
    </row>
    <row r="26" spans="1:7" x14ac:dyDescent="0.2">
      <c r="A26" s="10" t="str">
        <f>name!B25</f>
        <v>Other services</v>
      </c>
      <c r="B26" s="11">
        <v>73.159000000347774</v>
      </c>
      <c r="C26" s="11">
        <v>84.063000000352474</v>
      </c>
      <c r="D26" s="11">
        <v>77.623999999617325</v>
      </c>
      <c r="E26" s="11">
        <v>80.480000000556501</v>
      </c>
      <c r="F26" s="11">
        <v>82.535000000182862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2817.8519999971145</v>
      </c>
      <c r="C28" s="11">
        <f t="shared" ref="C28:F28" si="0">SUM(C5:C26)</f>
        <v>2962.1069999996521</v>
      </c>
      <c r="D28" s="11">
        <f t="shared" si="0"/>
        <v>2929.5869999964652</v>
      </c>
      <c r="E28" s="11">
        <f t="shared" si="0"/>
        <v>3058.6549999943354</v>
      </c>
      <c r="F28" s="11">
        <f t="shared" si="0"/>
        <v>3240.0929999972936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2">
      <c r="A32" t="str">
        <f>$A$5</f>
        <v>Agriculture</v>
      </c>
      <c r="B32" s="17">
        <f>B5/B$28*100</f>
        <v>1.6940563237526505</v>
      </c>
      <c r="C32" s="17">
        <f t="shared" ref="C32:E32" si="1">C5/C$28*100</f>
        <v>1.6102051681580303</v>
      </c>
      <c r="D32" s="17">
        <f t="shared" si="1"/>
        <v>1.9905194827827604</v>
      </c>
      <c r="E32" s="17">
        <f t="shared" si="1"/>
        <v>1.9736452787149552</v>
      </c>
      <c r="F32" s="17">
        <f>F5/F$28*100</f>
        <v>1.914759854093067</v>
      </c>
    </row>
    <row r="33" spans="1:6" x14ac:dyDescent="0.2">
      <c r="A33" t="str">
        <f>$A$6</f>
        <v>Mining and quarrying</v>
      </c>
      <c r="B33" s="17">
        <f t="shared" ref="B33:F53" si="2">B6/B$28*100</f>
        <v>0.16611944133300441</v>
      </c>
      <c r="C33" s="17">
        <f t="shared" si="2"/>
        <v>0.1173489006304055</v>
      </c>
      <c r="D33" s="17">
        <f t="shared" si="2"/>
        <v>0.12022172408650394</v>
      </c>
      <c r="E33" s="17">
        <f t="shared" si="2"/>
        <v>8.9614552802635652E-2</v>
      </c>
      <c r="F33" s="17">
        <f t="shared" si="2"/>
        <v>5.848597555745691E-2</v>
      </c>
    </row>
    <row r="34" spans="1:6" x14ac:dyDescent="0.2">
      <c r="A34" t="str">
        <f>$A$7</f>
        <v>Food drink and tobacco</v>
      </c>
      <c r="B34" s="17">
        <f t="shared" si="2"/>
        <v>1.2480783234888917</v>
      </c>
      <c r="C34" s="17">
        <f t="shared" si="2"/>
        <v>1.171733499167074</v>
      </c>
      <c r="D34" s="17">
        <f t="shared" si="2"/>
        <v>1.2093513522644266</v>
      </c>
      <c r="E34" s="17">
        <f t="shared" si="2"/>
        <v>1.0814230438117327</v>
      </c>
      <c r="F34" s="17">
        <f t="shared" si="2"/>
        <v>0.8487102067805945</v>
      </c>
    </row>
    <row r="35" spans="1:6" x14ac:dyDescent="0.2">
      <c r="A35" t="str">
        <f>$A$8</f>
        <v>Engineering</v>
      </c>
      <c r="B35" s="17">
        <f t="shared" si="2"/>
        <v>1.5508266580326284</v>
      </c>
      <c r="C35" s="17">
        <f t="shared" si="2"/>
        <v>1.4586913977103486</v>
      </c>
      <c r="D35" s="17">
        <f t="shared" si="2"/>
        <v>1.437165033843069</v>
      </c>
      <c r="E35" s="17">
        <f t="shared" si="2"/>
        <v>1.3255499557954042</v>
      </c>
      <c r="F35" s="17">
        <f t="shared" si="2"/>
        <v>1.0416059045286195</v>
      </c>
    </row>
    <row r="36" spans="1:6" x14ac:dyDescent="0.2">
      <c r="A36" t="str">
        <f>$A$9</f>
        <v>Rest of manufacturing</v>
      </c>
      <c r="B36" s="17">
        <f t="shared" si="2"/>
        <v>5.2871477991029954</v>
      </c>
      <c r="C36" s="17">
        <f t="shared" si="2"/>
        <v>5.3865711130662293</v>
      </c>
      <c r="D36" s="17">
        <f t="shared" si="2"/>
        <v>5.4604625157172331</v>
      </c>
      <c r="E36" s="17">
        <f t="shared" si="2"/>
        <v>4.9749317919596683</v>
      </c>
      <c r="F36" s="17">
        <f t="shared" si="2"/>
        <v>4.5921212755574228</v>
      </c>
    </row>
    <row r="37" spans="1:6" x14ac:dyDescent="0.2">
      <c r="A37" t="str">
        <f>$A$10</f>
        <v>Electricity and gas</v>
      </c>
      <c r="B37" s="17">
        <f t="shared" si="2"/>
        <v>0.24962276230144786</v>
      </c>
      <c r="C37" s="17">
        <f t="shared" si="2"/>
        <v>0.37527341179753426</v>
      </c>
      <c r="D37" s="17">
        <f t="shared" si="2"/>
        <v>0.52403290975735728</v>
      </c>
      <c r="E37" s="17">
        <f t="shared" si="2"/>
        <v>0.47380302780787603</v>
      </c>
      <c r="F37" s="17">
        <f t="shared" si="2"/>
        <v>0.43418506814185287</v>
      </c>
    </row>
    <row r="38" spans="1:6" x14ac:dyDescent="0.2">
      <c r="A38" t="str">
        <f>$A$11</f>
        <v>Water and sewerage</v>
      </c>
      <c r="B38" s="17">
        <f t="shared" si="2"/>
        <v>0.7134512387447518</v>
      </c>
      <c r="C38" s="17">
        <f t="shared" si="2"/>
        <v>0.78157203639179462</v>
      </c>
      <c r="D38" s="17">
        <f t="shared" si="2"/>
        <v>0.73095627472774738</v>
      </c>
      <c r="E38" s="17">
        <f t="shared" si="2"/>
        <v>0.74137161596429113</v>
      </c>
      <c r="F38" s="17">
        <f t="shared" si="2"/>
        <v>0.76287933711259281</v>
      </c>
    </row>
    <row r="39" spans="1:6" x14ac:dyDescent="0.2">
      <c r="A39" t="str">
        <f>$A$12</f>
        <v>Construction</v>
      </c>
      <c r="B39" s="17">
        <f t="shared" si="2"/>
        <v>6.9749227424650435</v>
      </c>
      <c r="C39" s="17">
        <f t="shared" si="2"/>
        <v>7.7012410423566653</v>
      </c>
      <c r="D39" s="17">
        <f t="shared" si="2"/>
        <v>7.6644591882473936</v>
      </c>
      <c r="E39" s="17">
        <f t="shared" si="2"/>
        <v>7.9631406613038997</v>
      </c>
      <c r="F39" s="17">
        <f t="shared" si="2"/>
        <v>8.3240511922535596</v>
      </c>
    </row>
    <row r="40" spans="1:6" x14ac:dyDescent="0.2">
      <c r="A40" t="str">
        <f>$A$13</f>
        <v>Wholesale and retail trade</v>
      </c>
      <c r="B40" s="17">
        <f t="shared" si="2"/>
        <v>15.14948265570176</v>
      </c>
      <c r="C40" s="17">
        <f t="shared" si="2"/>
        <v>14.389216865147745</v>
      </c>
      <c r="D40" s="17">
        <f t="shared" si="2"/>
        <v>14.843355053392823</v>
      </c>
      <c r="E40" s="17">
        <f t="shared" si="2"/>
        <v>14.277844347175501</v>
      </c>
      <c r="F40" s="17">
        <f t="shared" si="2"/>
        <v>13.564518055546362</v>
      </c>
    </row>
    <row r="41" spans="1:6" x14ac:dyDescent="0.2">
      <c r="A41" t="str">
        <f>$A$14</f>
        <v>Transport and storage</v>
      </c>
      <c r="B41" s="17">
        <f t="shared" si="2"/>
        <v>4.0074851340775348</v>
      </c>
      <c r="C41" s="17">
        <f t="shared" si="2"/>
        <v>3.766474337358789</v>
      </c>
      <c r="D41" s="17">
        <f t="shared" si="2"/>
        <v>3.7551709507679063</v>
      </c>
      <c r="E41" s="17">
        <f t="shared" si="2"/>
        <v>3.7081985383443627</v>
      </c>
      <c r="F41" s="17">
        <f t="shared" si="2"/>
        <v>3.5044673100897121</v>
      </c>
    </row>
    <row r="42" spans="1:6" x14ac:dyDescent="0.2">
      <c r="A42" t="str">
        <f>$A$15</f>
        <v>Accommodation and food</v>
      </c>
      <c r="B42" s="17">
        <f t="shared" si="2"/>
        <v>7.6881965412262225</v>
      </c>
      <c r="C42" s="17">
        <f t="shared" si="2"/>
        <v>8.7943480773797233</v>
      </c>
      <c r="D42" s="17">
        <f t="shared" si="2"/>
        <v>8.5789225581485571</v>
      </c>
      <c r="E42" s="17">
        <f t="shared" si="2"/>
        <v>8.8248265989276398</v>
      </c>
      <c r="F42" s="17">
        <f t="shared" si="2"/>
        <v>9.4565495496087628</v>
      </c>
    </row>
    <row r="43" spans="1:6" x14ac:dyDescent="0.2">
      <c r="A43" t="str">
        <f>$A$16</f>
        <v>Media</v>
      </c>
      <c r="B43" s="17">
        <f t="shared" si="2"/>
        <v>0.56990218081441724</v>
      </c>
      <c r="C43" s="17">
        <f t="shared" si="2"/>
        <v>0.79055213062491603</v>
      </c>
      <c r="D43" s="17">
        <f t="shared" si="2"/>
        <v>0.73416491812112206</v>
      </c>
      <c r="E43" s="17">
        <f t="shared" si="2"/>
        <v>0.68095290250109652</v>
      </c>
      <c r="F43" s="17">
        <f t="shared" si="2"/>
        <v>0.62695731264759491</v>
      </c>
    </row>
    <row r="44" spans="1:6" x14ac:dyDescent="0.2">
      <c r="A44" t="str">
        <f>$A$17</f>
        <v>Information technology</v>
      </c>
      <c r="B44" s="17">
        <f t="shared" si="2"/>
        <v>2.6821493818597402</v>
      </c>
      <c r="C44" s="17">
        <f t="shared" si="2"/>
        <v>2.3388756719186556</v>
      </c>
      <c r="D44" s="17">
        <f t="shared" si="2"/>
        <v>2.2896401437761602</v>
      </c>
      <c r="E44" s="17">
        <f t="shared" si="2"/>
        <v>2.3172603644273497</v>
      </c>
      <c r="F44" s="17">
        <f t="shared" si="2"/>
        <v>2.3128348476126437</v>
      </c>
    </row>
    <row r="45" spans="1:6" x14ac:dyDescent="0.2">
      <c r="A45" t="str">
        <f>$A$18</f>
        <v>Finance and insurance</v>
      </c>
      <c r="B45" s="17">
        <f t="shared" si="2"/>
        <v>3.0975012172251524</v>
      </c>
      <c r="C45" s="17">
        <f t="shared" si="2"/>
        <v>2.6112155975229614</v>
      </c>
      <c r="D45" s="17">
        <f t="shared" si="2"/>
        <v>2.9446812809799106</v>
      </c>
      <c r="E45" s="17">
        <f t="shared" si="2"/>
        <v>2.8188860790179389</v>
      </c>
      <c r="F45" s="17">
        <f t="shared" si="2"/>
        <v>2.5570253693222984</v>
      </c>
    </row>
    <row r="46" spans="1:6" x14ac:dyDescent="0.2">
      <c r="A46" t="str">
        <f>$A$19</f>
        <v>Real estate</v>
      </c>
      <c r="B46" s="17">
        <f t="shared" si="2"/>
        <v>1.8173772078850854</v>
      </c>
      <c r="C46" s="17">
        <f t="shared" si="2"/>
        <v>1.8754893054196591</v>
      </c>
      <c r="D46" s="17">
        <f t="shared" si="2"/>
        <v>1.9669666748167898</v>
      </c>
      <c r="E46" s="17">
        <f t="shared" si="2"/>
        <v>1.6929663528736489</v>
      </c>
      <c r="F46" s="17">
        <f t="shared" si="2"/>
        <v>1.6086883925814657</v>
      </c>
    </row>
    <row r="47" spans="1:6" x14ac:dyDescent="0.2">
      <c r="A47" s="10" t="str">
        <f>$A$20</f>
        <v>Professional services</v>
      </c>
      <c r="B47" s="17">
        <f t="shared" si="2"/>
        <v>8.3500481927284529</v>
      </c>
      <c r="C47" s="17">
        <f t="shared" si="2"/>
        <v>8.8655136359370701</v>
      </c>
      <c r="D47" s="17">
        <f t="shared" si="2"/>
        <v>8.7626003254305012</v>
      </c>
      <c r="E47" s="17">
        <f t="shared" si="2"/>
        <v>8.8651711290738842</v>
      </c>
      <c r="F47" s="17">
        <f t="shared" si="2"/>
        <v>9.0241854168896758</v>
      </c>
    </row>
    <row r="48" spans="1:6" x14ac:dyDescent="0.2">
      <c r="A48" s="10" t="str">
        <f>$A$21</f>
        <v>Support services</v>
      </c>
      <c r="B48" s="17">
        <f t="shared" si="2"/>
        <v>7.1178330160893903</v>
      </c>
      <c r="C48" s="17">
        <f t="shared" si="2"/>
        <v>6.890871936807506</v>
      </c>
      <c r="D48" s="17">
        <f t="shared" si="2"/>
        <v>6.7426569001317009</v>
      </c>
      <c r="E48" s="17">
        <f t="shared" si="2"/>
        <v>7.1460167950544662</v>
      </c>
      <c r="F48" s="17">
        <f t="shared" si="2"/>
        <v>7.3827201873866581</v>
      </c>
    </row>
    <row r="49" spans="1:6" x14ac:dyDescent="0.2">
      <c r="A49" s="10" t="str">
        <f>$A$22</f>
        <v>Public admin. and defence</v>
      </c>
      <c r="B49" s="17">
        <f t="shared" si="2"/>
        <v>3.5527415918205083</v>
      </c>
      <c r="C49" s="17">
        <f t="shared" si="2"/>
        <v>3.4679030838237686</v>
      </c>
      <c r="D49" s="17">
        <f t="shared" si="2"/>
        <v>3.717110978409996</v>
      </c>
      <c r="E49" s="17">
        <f t="shared" si="2"/>
        <v>3.7515509267512779</v>
      </c>
      <c r="F49" s="17">
        <f t="shared" si="2"/>
        <v>3.6134456634387719</v>
      </c>
    </row>
    <row r="50" spans="1:6" x14ac:dyDescent="0.2">
      <c r="A50" s="10" t="str">
        <f>$A$23</f>
        <v>Education</v>
      </c>
      <c r="B50" s="17">
        <f t="shared" si="2"/>
        <v>8.5413996193451922</v>
      </c>
      <c r="C50" s="17">
        <f t="shared" si="2"/>
        <v>8.5021911765773766</v>
      </c>
      <c r="D50" s="17">
        <f t="shared" si="2"/>
        <v>8.2566587029555052</v>
      </c>
      <c r="E50" s="17">
        <f t="shared" si="2"/>
        <v>8.0743333255194383</v>
      </c>
      <c r="F50" s="17">
        <f t="shared" si="2"/>
        <v>8.0578242662065858</v>
      </c>
    </row>
    <row r="51" spans="1:6" x14ac:dyDescent="0.2">
      <c r="A51" s="10" t="str">
        <f>$A$24</f>
        <v>Health and social work</v>
      </c>
      <c r="B51" s="17">
        <f t="shared" si="2"/>
        <v>13.953358799392426</v>
      </c>
      <c r="C51" s="17">
        <f t="shared" si="2"/>
        <v>13.193412661814802</v>
      </c>
      <c r="D51" s="17">
        <f t="shared" si="2"/>
        <v>12.813341948813092</v>
      </c>
      <c r="E51" s="17">
        <f t="shared" si="2"/>
        <v>13.440940543960156</v>
      </c>
      <c r="F51" s="17">
        <f t="shared" si="2"/>
        <v>14.344032717537713</v>
      </c>
    </row>
    <row r="52" spans="1:6" x14ac:dyDescent="0.2">
      <c r="A52" s="10" t="str">
        <f>$A$25</f>
        <v>Arts and entertainment</v>
      </c>
      <c r="B52" s="17">
        <f t="shared" si="2"/>
        <v>2.9920308093195582</v>
      </c>
      <c r="C52" s="17">
        <f t="shared" si="2"/>
        <v>3.0733528532235583</v>
      </c>
      <c r="D52" s="17">
        <f t="shared" si="2"/>
        <v>2.8079043223471265</v>
      </c>
      <c r="E52" s="17">
        <f t="shared" si="2"/>
        <v>3.1463502749065375</v>
      </c>
      <c r="F52" s="17">
        <f t="shared" si="2"/>
        <v>3.422648670931725</v>
      </c>
    </row>
    <row r="53" spans="1:6" x14ac:dyDescent="0.2">
      <c r="A53" s="10" t="str">
        <f>$A$26</f>
        <v>Other services</v>
      </c>
      <c r="B53" s="17">
        <f t="shared" si="2"/>
        <v>2.5962683632931287</v>
      </c>
      <c r="C53" s="17">
        <f t="shared" si="2"/>
        <v>2.837946097165374</v>
      </c>
      <c r="D53" s="17">
        <f t="shared" si="2"/>
        <v>2.6496567604823129</v>
      </c>
      <c r="E53" s="17">
        <f t="shared" si="2"/>
        <v>2.6312218933062259</v>
      </c>
      <c r="F53" s="17">
        <f t="shared" si="2"/>
        <v>2.5473034261748597</v>
      </c>
    </row>
    <row r="54" spans="1:6" x14ac:dyDescent="0.2">
      <c r="B54" s="17"/>
      <c r="C54" s="17"/>
      <c r="D54" s="17"/>
      <c r="E54" s="17"/>
      <c r="F54" s="17"/>
    </row>
    <row r="55" spans="1:6" x14ac:dyDescent="0.2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2">
      <c r="B56" s="17"/>
      <c r="C56" s="17"/>
      <c r="D56" s="17"/>
      <c r="E56" s="17"/>
      <c r="F56" s="17"/>
    </row>
    <row r="57" spans="1:6" x14ac:dyDescent="0.2">
      <c r="B57" s="17"/>
      <c r="C57" s="17"/>
      <c r="D57" s="17"/>
      <c r="E57" s="17"/>
      <c r="F57" s="17"/>
    </row>
    <row r="58" spans="1:6" x14ac:dyDescent="0.2">
      <c r="B58" s="17"/>
      <c r="C58" s="17"/>
      <c r="D58" s="17"/>
      <c r="E58" s="17"/>
      <c r="F58" s="17"/>
    </row>
    <row r="59" spans="1:6" ht="15.75" x14ac:dyDescent="0.25">
      <c r="A59" s="18" t="str">
        <f>CONCATENATE(A1," (Continued)")</f>
        <v>Industry Table 2  Employment by Industry Group (SIC 2007), 2015-2035, South West (Continued)</v>
      </c>
      <c r="B59" s="17"/>
      <c r="C59" s="17"/>
      <c r="D59" s="17"/>
      <c r="E59" s="17"/>
      <c r="F59" s="17"/>
    </row>
    <row r="61" spans="1:6" x14ac:dyDescent="0.2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2">
      <c r="A62" s="27" t="s">
        <v>14</v>
      </c>
    </row>
    <row r="63" spans="1:6" x14ac:dyDescent="0.2">
      <c r="A63" t="str">
        <f>$A$5</f>
        <v>Agriculture</v>
      </c>
      <c r="B63" s="17">
        <f>IF(AND(C$3-B$3 &lt;&gt; 0,B5&lt;&gt;0,C5&lt;&gt;0),(EXP(LN(C5/B5)/(C$3-B$3))-1)*100,0)</f>
        <v>-2.0955135984268569E-2</v>
      </c>
      <c r="C63" s="17">
        <f>IF(AND(D$3-C$3 &lt;&gt; 0,C5&lt;&gt;0,D5&lt;&gt;0),(EXP(LN(D5/C5)/(D$3-C$3))-1)*100,0)</f>
        <v>22.261824890041382</v>
      </c>
      <c r="D63" s="17">
        <f t="shared" ref="B63:E78" si="3">IF(AND(E$3-D$3 &lt;&gt; 0,D5&lt;&gt;0,E5&lt;&gt;0),(EXP(LN(E5/D5)/(E$3-D$3))-1)*100,0)</f>
        <v>0.69440783271090822</v>
      </c>
      <c r="E63" s="17">
        <f t="shared" si="3"/>
        <v>0.27374139225440075</v>
      </c>
      <c r="F63" s="17">
        <f>IF(AND(F$3-D$3 &lt;&gt; 0,D5&lt;&gt;0,F5&lt;&gt;0),(EXP(LN(F5/D5)/(F$3-D$3))-1)*100,0)</f>
        <v>0.413767909070617</v>
      </c>
    </row>
    <row r="64" spans="1:6" x14ac:dyDescent="0.2">
      <c r="A64" t="str">
        <f>$A$6</f>
        <v>Mining and quarrying</v>
      </c>
      <c r="B64" s="17">
        <f t="shared" si="3"/>
        <v>-7.1706559485727244</v>
      </c>
      <c r="C64" s="17">
        <f t="shared" ref="C64:C78" si="4">IF(AND(D$3-C$3 &lt;&gt; 0,C6&lt;&gt;0,D6&lt;&gt;0),(EXP(LN(D6/C6)/(D$3-C$3))-1)*100,0)</f>
        <v>1.3233601845229259</v>
      </c>
      <c r="D64" s="17">
        <f t="shared" si="3"/>
        <v>-4.890491627640559</v>
      </c>
      <c r="E64" s="17">
        <f t="shared" si="3"/>
        <v>-3.6237513356167095</v>
      </c>
      <c r="F64" s="17">
        <f t="shared" ref="F64:F86" si="5">IF(AND(F$3-D$3 &lt;&gt; 0,D6&lt;&gt;0,F6&lt;&gt;0),(EXP(LN(F6/D6)/(F$3-D$3))-1)*100,0)</f>
        <v>-4.047861688957477</v>
      </c>
    </row>
    <row r="65" spans="1:6" x14ac:dyDescent="0.2">
      <c r="A65" t="str">
        <f>$A$7</f>
        <v>Food drink and tobacco</v>
      </c>
      <c r="B65" s="17">
        <f t="shared" si="3"/>
        <v>-0.32932664678351209</v>
      </c>
      <c r="C65" s="17">
        <f t="shared" si="4"/>
        <v>2.0773308748640806</v>
      </c>
      <c r="D65" s="17">
        <f t="shared" si="3"/>
        <v>-1.3644560862786648</v>
      </c>
      <c r="E65" s="17">
        <f t="shared" si="3"/>
        <v>-1.8299349486746719</v>
      </c>
      <c r="F65" s="17">
        <f t="shared" si="5"/>
        <v>-1.6750199165972868</v>
      </c>
    </row>
    <row r="66" spans="1:6" x14ac:dyDescent="0.2">
      <c r="A66" t="str">
        <f>$A$8</f>
        <v>Engineering</v>
      </c>
      <c r="B66" s="17">
        <f t="shared" si="3"/>
        <v>-0.28266073037671591</v>
      </c>
      <c r="C66" s="17">
        <f t="shared" si="4"/>
        <v>-2.5573967783984131</v>
      </c>
      <c r="D66" s="17">
        <f t="shared" si="3"/>
        <v>-0.75178372093960277</v>
      </c>
      <c r="E66" s="17">
        <f t="shared" si="3"/>
        <v>-1.8176480042473298</v>
      </c>
      <c r="F66" s="17">
        <f t="shared" si="5"/>
        <v>-1.4636378766887503</v>
      </c>
    </row>
    <row r="67" spans="1:6" x14ac:dyDescent="0.2">
      <c r="A67" t="str">
        <f>$A$9</f>
        <v>Rest of manufacturing</v>
      </c>
      <c r="B67" s="17">
        <f t="shared" si="3"/>
        <v>1.7286725564156447</v>
      </c>
      <c r="C67" s="17">
        <f t="shared" si="4"/>
        <v>0.25884329015382068</v>
      </c>
      <c r="D67" s="17">
        <f t="shared" si="3"/>
        <v>-0.9951753548792186</v>
      </c>
      <c r="E67" s="17">
        <f t="shared" si="3"/>
        <v>-0.22417670050068894</v>
      </c>
      <c r="F67" s="17">
        <f t="shared" si="5"/>
        <v>-0.48184108017523819</v>
      </c>
    </row>
    <row r="68" spans="1:6" x14ac:dyDescent="0.2">
      <c r="A68" t="str">
        <f>$A$10</f>
        <v>Electricity and gas</v>
      </c>
      <c r="B68" s="17">
        <f t="shared" si="3"/>
        <v>12.120891822832537</v>
      </c>
      <c r="C68" s="17">
        <f t="shared" si="4"/>
        <v>38.107232817249034</v>
      </c>
      <c r="D68" s="17">
        <f t="shared" si="3"/>
        <v>-1.1463583740599526</v>
      </c>
      <c r="E68" s="17">
        <f t="shared" si="3"/>
        <v>-0.29650015189659484</v>
      </c>
      <c r="F68" s="17">
        <f t="shared" si="5"/>
        <v>-0.58059495583130394</v>
      </c>
    </row>
    <row r="69" spans="1:6" x14ac:dyDescent="0.2">
      <c r="A69" t="str">
        <f>$A$11</f>
        <v>Water and sewerage</v>
      </c>
      <c r="B69" s="17">
        <f t="shared" si="3"/>
        <v>3.5909509495840597</v>
      </c>
      <c r="C69" s="17">
        <f t="shared" si="4"/>
        <v>-7.5029156404412429</v>
      </c>
      <c r="D69" s="17">
        <f t="shared" si="3"/>
        <v>1.1518266763323348</v>
      </c>
      <c r="E69" s="17">
        <f t="shared" si="3"/>
        <v>0.86597431745187858</v>
      </c>
      <c r="F69" s="17">
        <f t="shared" si="5"/>
        <v>0.9611685673671877</v>
      </c>
    </row>
    <row r="70" spans="1:6" x14ac:dyDescent="0.2">
      <c r="A70" t="str">
        <f>$A$12</f>
        <v>Construction</v>
      </c>
      <c r="B70" s="17">
        <f t="shared" si="3"/>
        <v>3.7948891899535653</v>
      </c>
      <c r="C70" s="17">
        <f t="shared" si="4"/>
        <v>-1.570233081647554</v>
      </c>
      <c r="D70" s="17">
        <f t="shared" si="3"/>
        <v>1.6401723961841919</v>
      </c>
      <c r="E70" s="17">
        <f t="shared" si="3"/>
        <v>1.0247382190043064</v>
      </c>
      <c r="F70" s="17">
        <f t="shared" si="5"/>
        <v>1.2294677741013338</v>
      </c>
    </row>
    <row r="71" spans="1:6" x14ac:dyDescent="0.2">
      <c r="A71" t="str">
        <f>$A$13</f>
        <v>Wholesale and retail trade</v>
      </c>
      <c r="B71" s="17">
        <f t="shared" si="3"/>
        <v>-3.9025860900654408E-2</v>
      </c>
      <c r="C71" s="17">
        <f t="shared" si="4"/>
        <v>2.0235838431640119</v>
      </c>
      <c r="D71" s="17">
        <f t="shared" si="3"/>
        <v>8.5446782483766803E-2</v>
      </c>
      <c r="E71" s="17">
        <f t="shared" si="3"/>
        <v>6.3772163413911009E-2</v>
      </c>
      <c r="F71" s="17">
        <f t="shared" si="5"/>
        <v>7.0996514844745562E-2</v>
      </c>
    </row>
    <row r="72" spans="1:6" x14ac:dyDescent="0.2">
      <c r="A72" t="str">
        <f>$A$14</f>
        <v>Transport and storage</v>
      </c>
      <c r="B72" s="17">
        <f t="shared" si="3"/>
        <v>-0.30200739356299744</v>
      </c>
      <c r="C72" s="17">
        <f t="shared" si="4"/>
        <v>-1.3946776365355462</v>
      </c>
      <c r="D72" s="17">
        <f t="shared" si="3"/>
        <v>0.61239146724212379</v>
      </c>
      <c r="E72" s="17">
        <f t="shared" si="3"/>
        <v>1.1191582850411663E-2</v>
      </c>
      <c r="F72" s="17">
        <f t="shared" si="5"/>
        <v>0.21119132350693182</v>
      </c>
    </row>
    <row r="73" spans="1:6" x14ac:dyDescent="0.2">
      <c r="A73" t="str">
        <f>$A$15</f>
        <v>Accommodation and food</v>
      </c>
      <c r="B73" s="17">
        <f t="shared" si="3"/>
        <v>4.7165762249328669</v>
      </c>
      <c r="C73" s="17">
        <f t="shared" si="4"/>
        <v>-3.5205644576773665</v>
      </c>
      <c r="D73" s="17">
        <f t="shared" si="3"/>
        <v>1.4377261469477043</v>
      </c>
      <c r="E73" s="17">
        <f t="shared" si="3"/>
        <v>1.2757225686184093</v>
      </c>
      <c r="F73" s="17">
        <f t="shared" si="5"/>
        <v>1.3296949929990864</v>
      </c>
    </row>
    <row r="74" spans="1:6" x14ac:dyDescent="0.2">
      <c r="A74" t="str">
        <f>$A$16</f>
        <v>Media</v>
      </c>
      <c r="B74" s="17">
        <f t="shared" si="3"/>
        <v>9.8887389191047337</v>
      </c>
      <c r="C74" s="17">
        <f t="shared" si="4"/>
        <v>-8.152197122112792</v>
      </c>
      <c r="D74" s="17">
        <f t="shared" si="3"/>
        <v>-0.64047463414386163</v>
      </c>
      <c r="E74" s="17">
        <f t="shared" si="3"/>
        <v>-0.24956737929012762</v>
      </c>
      <c r="F74" s="17">
        <f t="shared" si="5"/>
        <v>-0.38004038111678629</v>
      </c>
    </row>
    <row r="75" spans="1:6" x14ac:dyDescent="0.2">
      <c r="A75" t="str">
        <f>$A$17</f>
        <v>Information technology</v>
      </c>
      <c r="B75" s="17">
        <f t="shared" si="3"/>
        <v>-2.1520605522618697</v>
      </c>
      <c r="C75" s="17">
        <f t="shared" si="4"/>
        <v>-3.1798498851765999</v>
      </c>
      <c r="D75" s="17">
        <f t="shared" si="3"/>
        <v>1.108190785056351</v>
      </c>
      <c r="E75" s="17">
        <f t="shared" si="3"/>
        <v>0.55870622048914687</v>
      </c>
      <c r="F75" s="17">
        <f t="shared" si="5"/>
        <v>0.7415351336218734</v>
      </c>
    </row>
    <row r="76" spans="1:6" x14ac:dyDescent="0.2">
      <c r="A76" t="str">
        <f>$A$18</f>
        <v>Finance and insurance</v>
      </c>
      <c r="B76" s="17">
        <f t="shared" si="3"/>
        <v>-2.9761615428338661</v>
      </c>
      <c r="C76" s="17">
        <f t="shared" si="4"/>
        <v>11.532444696867362</v>
      </c>
      <c r="D76" s="17">
        <f t="shared" si="3"/>
        <v>-1.0898778179102564E-2</v>
      </c>
      <c r="E76" s="17">
        <f t="shared" si="3"/>
        <v>-0.39791048438884147</v>
      </c>
      <c r="F76" s="17">
        <f t="shared" si="5"/>
        <v>-0.26907330748785485</v>
      </c>
    </row>
    <row r="77" spans="1:6" x14ac:dyDescent="0.2">
      <c r="A77" t="str">
        <f>$A$19</f>
        <v>Real estate</v>
      </c>
      <c r="B77" s="17">
        <f t="shared" si="3"/>
        <v>2.055877098786163</v>
      </c>
      <c r="C77" s="17">
        <f t="shared" si="4"/>
        <v>3.7261043302225794</v>
      </c>
      <c r="D77" s="17">
        <f t="shared" si="3"/>
        <v>-2.1152392354851335</v>
      </c>
      <c r="E77" s="17">
        <f t="shared" si="3"/>
        <v>6.5658661245571182E-2</v>
      </c>
      <c r="F77" s="17">
        <f t="shared" si="5"/>
        <v>-0.66665352317948345</v>
      </c>
    </row>
    <row r="78" spans="1:6" x14ac:dyDescent="0.2">
      <c r="A78" t="str">
        <f>$A$20</f>
        <v>Professional services</v>
      </c>
      <c r="B78" s="17">
        <f t="shared" si="3"/>
        <v>2.7837292273000136</v>
      </c>
      <c r="C78" s="17">
        <f t="shared" si="4"/>
        <v>-2.2459502070193427</v>
      </c>
      <c r="D78" s="17">
        <f t="shared" si="3"/>
        <v>1.1010445854852557</v>
      </c>
      <c r="E78" s="17">
        <f t="shared" si="3"/>
        <v>0.75689764403035209</v>
      </c>
      <c r="F78" s="17">
        <f t="shared" si="5"/>
        <v>0.87148293023020518</v>
      </c>
    </row>
    <row r="79" spans="1:6" x14ac:dyDescent="0.2">
      <c r="A79" s="10" t="str">
        <f>$A$21</f>
        <v>Support services</v>
      </c>
      <c r="B79" s="17">
        <f t="shared" ref="B79:B84" si="6">IF(AND(C$3-B$3 &lt;&gt; 0,B21&lt;&gt;0,C21&lt;&gt;0),(EXP(LN(C21/B21)/(C$3-B$3))-1)*100,0)</f>
        <v>0.43896683683526394</v>
      </c>
      <c r="C79" s="17">
        <f t="shared" ref="C79:C84" si="7">IF(AND(D$3-C$3 &lt;&gt; 0,C21&lt;&gt;0,D21&lt;&gt;0),(EXP(LN(D21/C21)/(D$3-C$3))-1)*100,0)</f>
        <v>-3.2251426894277735</v>
      </c>
      <c r="D79" s="17">
        <f t="shared" ref="D79:D84" si="8">IF(AND(E$3-D$3 &lt;&gt; 0,D21&lt;&gt;0,E21&lt;&gt;0),(EXP(LN(E21/D21)/(E$3-D$3))-1)*100,0)</f>
        <v>2.0449255234300301</v>
      </c>
      <c r="E79" s="17">
        <f t="shared" ref="E79:E84" si="9">IF(AND(F$3-E$3 &lt;&gt; 0,E21&lt;&gt;0,F21&lt;&gt;0),(EXP(LN(F21/E21)/(F$3-E$3))-1)*100,0)</f>
        <v>0.90621959133967422</v>
      </c>
      <c r="F79" s="17">
        <f t="shared" si="5"/>
        <v>1.2843693351431096</v>
      </c>
    </row>
    <row r="80" spans="1:6" x14ac:dyDescent="0.2">
      <c r="A80" s="10" t="str">
        <f>$A$22</f>
        <v>Public admin. and defence</v>
      </c>
      <c r="B80" s="17">
        <f t="shared" si="6"/>
        <v>0.64598943737197434</v>
      </c>
      <c r="C80" s="17">
        <f t="shared" si="7"/>
        <v>6.0093649911356017</v>
      </c>
      <c r="D80" s="17">
        <f t="shared" si="8"/>
        <v>1.0522254926687014</v>
      </c>
      <c r="E80" s="17">
        <f t="shared" si="9"/>
        <v>0.20139468545019579</v>
      </c>
      <c r="F80" s="17">
        <f t="shared" si="5"/>
        <v>0.48420598878411436</v>
      </c>
    </row>
    <row r="81" spans="1:6" x14ac:dyDescent="0.2">
      <c r="A81" s="10" t="str">
        <f>$A$23</f>
        <v>Education</v>
      </c>
      <c r="B81" s="17">
        <f t="shared" si="6"/>
        <v>1.1395686319794596</v>
      </c>
      <c r="C81" s="17">
        <f t="shared" si="7"/>
        <v>-3.9540350372046063</v>
      </c>
      <c r="D81" s="17">
        <f t="shared" si="8"/>
        <v>0.41654784824647351</v>
      </c>
      <c r="E81" s="17">
        <f t="shared" si="9"/>
        <v>0.55734772305269242</v>
      </c>
      <c r="F81" s="17">
        <f t="shared" si="5"/>
        <v>0.51039250914470813</v>
      </c>
    </row>
    <row r="82" spans="1:6" x14ac:dyDescent="0.2">
      <c r="A82" s="10" t="str">
        <f>$A$24</f>
        <v>Health and social work</v>
      </c>
      <c r="B82" s="17">
        <f t="shared" si="6"/>
        <v>-0.15180072404177292</v>
      </c>
      <c r="C82" s="17">
        <f t="shared" si="7"/>
        <v>-3.9470014296598022</v>
      </c>
      <c r="D82" s="17">
        <f t="shared" si="8"/>
        <v>1.835281329769467</v>
      </c>
      <c r="E82" s="17">
        <f t="shared" si="9"/>
        <v>1.2341076287004427</v>
      </c>
      <c r="F82" s="17">
        <f t="shared" si="5"/>
        <v>1.4341034947878528</v>
      </c>
    </row>
    <row r="83" spans="1:6" x14ac:dyDescent="0.2">
      <c r="A83" s="10" t="str">
        <f>$A$25</f>
        <v>Arts and entertainment</v>
      </c>
      <c r="B83" s="17">
        <f>IF(AND(C$3-B$3 &lt;&gt; 0,B25&lt;&gt;0,C25&lt;&gt;0),(EXP(LN(C25/B25)/(C$3-B$3))-1)*100,0)</f>
        <v>1.937090014436893</v>
      </c>
      <c r="C83" s="17">
        <f t="shared" si="7"/>
        <v>-9.6401423614850046</v>
      </c>
      <c r="D83" s="17">
        <f t="shared" si="8"/>
        <v>3.1881370153340027</v>
      </c>
      <c r="E83" s="17">
        <f t="shared" si="9"/>
        <v>1.4280844167489093</v>
      </c>
      <c r="F83" s="17">
        <f t="shared" si="5"/>
        <v>2.0114074363058787</v>
      </c>
    </row>
    <row r="84" spans="1:6" x14ac:dyDescent="0.2">
      <c r="A84" s="10" t="str">
        <f>$A$26</f>
        <v>Other services</v>
      </c>
      <c r="B84" s="17">
        <f t="shared" si="6"/>
        <v>3.5343070363485385</v>
      </c>
      <c r="C84" s="17">
        <f t="shared" si="7"/>
        <v>-7.6597313927746491</v>
      </c>
      <c r="D84" s="17">
        <f t="shared" si="8"/>
        <v>0.72525832356789</v>
      </c>
      <c r="E84" s="17">
        <f t="shared" si="9"/>
        <v>0.25245552808388361</v>
      </c>
      <c r="F84" s="17">
        <f t="shared" si="5"/>
        <v>0.40980935194725454</v>
      </c>
    </row>
    <row r="85" spans="1:6" x14ac:dyDescent="0.2">
      <c r="B85" s="17"/>
      <c r="C85" s="17"/>
      <c r="D85" s="17"/>
      <c r="E85" s="17"/>
      <c r="F85" s="17"/>
    </row>
    <row r="86" spans="1:6" x14ac:dyDescent="0.2">
      <c r="A86" t="str">
        <f>$A$28</f>
        <v>All industries</v>
      </c>
      <c r="B86" s="17">
        <f>IF(AND(C$3-B$3 &lt;&gt; 0,B28&lt;&gt;0,C28&lt;&gt;0),(EXP(LN(C28/B28)/(C$3-B$3))-1)*100,0)</f>
        <v>1.2559705559315626</v>
      </c>
      <c r="C86" s="17">
        <f>IF(AND(D$3-C$3 &lt;&gt; 0,C28&lt;&gt;0,D28&lt;&gt;0),(EXP(LN(D28/C28)/(D$3-C$3))-1)*100,0)</f>
        <v>-1.0978671602069334</v>
      </c>
      <c r="D86" s="17">
        <f>IF(AND(E$3-D$3 &lt;&gt; 0,D28&lt;&gt;0,E28&lt;&gt;0),(EXP(LN(E28/D28)/(E$3-D$3))-1)*100,0)</f>
        <v>0.86600469906557009</v>
      </c>
      <c r="E86" s="17">
        <f>IF(AND(F$3-E$3 &lt;&gt; 0,E28&lt;&gt;0,F28&lt;&gt;0),(EXP(LN(F28/E28)/(F$3-E$3))-1)*100,0)</f>
        <v>0.57793117804305627</v>
      </c>
      <c r="F86" s="17">
        <f t="shared" si="5"/>
        <v>0.6738641534223655</v>
      </c>
    </row>
    <row r="89" spans="1:6" x14ac:dyDescent="0.2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2">
      <c r="A90" t="str">
        <f>$A$5</f>
        <v>Agriculture</v>
      </c>
      <c r="B90" s="26">
        <f t="shared" ref="B90:E105" si="10">C5-B5</f>
        <v>-3.9999999576473044E-2</v>
      </c>
      <c r="C90" s="26">
        <f>D5-C5</f>
        <v>10.617999999635437</v>
      </c>
      <c r="D90" s="26">
        <f t="shared" si="10"/>
        <v>2.0529999995664951</v>
      </c>
      <c r="E90" s="26">
        <f t="shared" si="10"/>
        <v>1.672999999660739</v>
      </c>
      <c r="F90" s="26">
        <f>F5-D5</f>
        <v>3.7259999992272341</v>
      </c>
    </row>
    <row r="91" spans="1:6" x14ac:dyDescent="0.2">
      <c r="A91" t="str">
        <f>$A$6</f>
        <v>Mining and quarrying</v>
      </c>
      <c r="B91" s="26">
        <f t="shared" si="10"/>
        <v>-1.2049999999902212</v>
      </c>
      <c r="C91" s="26">
        <f t="shared" ref="C91:C105" si="11">D6-C6</f>
        <v>4.6000000013961984E-2</v>
      </c>
      <c r="D91" s="26">
        <f t="shared" si="10"/>
        <v>-0.78099999998946013</v>
      </c>
      <c r="E91" s="26">
        <f t="shared" si="10"/>
        <v>-0.84600000000308939</v>
      </c>
      <c r="F91" s="26">
        <f t="shared" ref="F91:F113" si="12">F6-D6</f>
        <v>-1.6269999999925495</v>
      </c>
    </row>
    <row r="92" spans="1:6" x14ac:dyDescent="0.2">
      <c r="A92" t="str">
        <f>$A$7</f>
        <v>Food drink and tobacco</v>
      </c>
      <c r="B92" s="26">
        <f t="shared" si="10"/>
        <v>-0.46099999979342243</v>
      </c>
      <c r="C92" s="26">
        <f t="shared" si="11"/>
        <v>0.72100000005133325</v>
      </c>
      <c r="D92" s="26">
        <f t="shared" si="10"/>
        <v>-2.3519999995816079</v>
      </c>
      <c r="E92" s="26">
        <f t="shared" si="10"/>
        <v>-5.5780000004778927</v>
      </c>
      <c r="F92" s="26">
        <f t="shared" si="12"/>
        <v>-7.9300000000595006</v>
      </c>
    </row>
    <row r="93" spans="1:6" x14ac:dyDescent="0.2">
      <c r="A93" t="str">
        <f>$A$8</f>
        <v>Engineering</v>
      </c>
      <c r="B93" s="26">
        <f t="shared" si="10"/>
        <v>-0.49199999988982768</v>
      </c>
      <c r="C93" s="26">
        <f t="shared" si="11"/>
        <v>-1.105000000009646</v>
      </c>
      <c r="D93" s="26">
        <f t="shared" si="10"/>
        <v>-1.5589999996025199</v>
      </c>
      <c r="E93" s="26">
        <f t="shared" si="10"/>
        <v>-6.7950000001685424</v>
      </c>
      <c r="F93" s="26">
        <f t="shared" si="12"/>
        <v>-8.3539999997710623</v>
      </c>
    </row>
    <row r="94" spans="1:6" x14ac:dyDescent="0.2">
      <c r="A94" t="str">
        <f>$A$9</f>
        <v>Rest of manufacturing</v>
      </c>
      <c r="B94" s="26">
        <f t="shared" si="10"/>
        <v>10.572000000266769</v>
      </c>
      <c r="C94" s="26">
        <f t="shared" si="11"/>
        <v>0.41300000003806758</v>
      </c>
      <c r="D94" s="26">
        <f t="shared" si="10"/>
        <v>-7.8029999990498311</v>
      </c>
      <c r="E94" s="26">
        <f t="shared" si="10"/>
        <v>-3.3770000003597147</v>
      </c>
      <c r="F94" s="26">
        <f t="shared" si="12"/>
        <v>-11.179999999409546</v>
      </c>
    </row>
    <row r="95" spans="1:6" x14ac:dyDescent="0.2">
      <c r="A95" t="str">
        <f>$A$10</f>
        <v>Electricity and gas</v>
      </c>
      <c r="B95" s="26">
        <f t="shared" si="10"/>
        <v>4.0820000000328918</v>
      </c>
      <c r="C95" s="26">
        <f t="shared" si="11"/>
        <v>4.2359999999624627</v>
      </c>
      <c r="D95" s="26">
        <f t="shared" si="10"/>
        <v>-0.85999999978459307</v>
      </c>
      <c r="E95" s="26">
        <f t="shared" si="10"/>
        <v>-0.42400000027249796</v>
      </c>
      <c r="F95" s="26">
        <f t="shared" si="12"/>
        <v>-1.284000000057091</v>
      </c>
    </row>
    <row r="96" spans="1:6" x14ac:dyDescent="0.2">
      <c r="A96" t="str">
        <f>$A$11</f>
        <v>Water and sewerage</v>
      </c>
      <c r="B96" s="26">
        <f t="shared" si="10"/>
        <v>3.0470000000279995</v>
      </c>
      <c r="C96" s="26">
        <f t="shared" si="11"/>
        <v>-1.7369999999186412</v>
      </c>
      <c r="D96" s="26">
        <f t="shared" si="10"/>
        <v>1.2620000001480562</v>
      </c>
      <c r="E96" s="26">
        <f t="shared" si="10"/>
        <v>2.0419999999802876</v>
      </c>
      <c r="F96" s="26">
        <f t="shared" si="12"/>
        <v>3.3040000001283438</v>
      </c>
    </row>
    <row r="97" spans="1:6" x14ac:dyDescent="0.2">
      <c r="A97" t="str">
        <f>$A$12</f>
        <v>Construction</v>
      </c>
      <c r="B97" s="26">
        <f t="shared" si="10"/>
        <v>31.576000005688172</v>
      </c>
      <c r="C97" s="26">
        <f t="shared" si="11"/>
        <v>-3.5820000035627402</v>
      </c>
      <c r="D97" s="26">
        <f t="shared" si="10"/>
        <v>19.027999994623457</v>
      </c>
      <c r="E97" s="26">
        <f t="shared" si="10"/>
        <v>26.142000002845151</v>
      </c>
      <c r="F97" s="26">
        <f t="shared" si="12"/>
        <v>45.169999997468608</v>
      </c>
    </row>
    <row r="98" spans="1:6" x14ac:dyDescent="0.2">
      <c r="A98" t="str">
        <f>$A$13</f>
        <v>Wholesale and retail trade</v>
      </c>
      <c r="B98" s="26">
        <f t="shared" si="10"/>
        <v>-0.66599999523617726</v>
      </c>
      <c r="C98" s="26">
        <f t="shared" si="11"/>
        <v>8.6249999998426574</v>
      </c>
      <c r="D98" s="26">
        <f t="shared" si="10"/>
        <v>1.8610000087774665</v>
      </c>
      <c r="E98" s="26">
        <f t="shared" si="10"/>
        <v>2.7929999848346938</v>
      </c>
      <c r="F98" s="26">
        <f t="shared" si="12"/>
        <v>4.6539999936121603</v>
      </c>
    </row>
    <row r="99" spans="1:6" x14ac:dyDescent="0.2">
      <c r="A99" t="str">
        <f>$A$14</f>
        <v>Transport and storage</v>
      </c>
      <c r="B99" s="26">
        <f t="shared" si="10"/>
        <v>-1.3580000000956574</v>
      </c>
      <c r="C99" s="26">
        <f t="shared" si="11"/>
        <v>-1.5559999987549418</v>
      </c>
      <c r="D99" s="26">
        <f t="shared" si="10"/>
        <v>3.4100000014464769</v>
      </c>
      <c r="E99" s="26">
        <f t="shared" si="10"/>
        <v>0.12699999862348932</v>
      </c>
      <c r="F99" s="26">
        <f t="shared" si="12"/>
        <v>3.5370000000699662</v>
      </c>
    </row>
    <row r="100" spans="1:6" x14ac:dyDescent="0.2">
      <c r="A100" t="str">
        <f>$A$15</f>
        <v>Accommodation and food</v>
      </c>
      <c r="B100" s="26">
        <f t="shared" si="10"/>
        <v>43.856000003747539</v>
      </c>
      <c r="C100" s="26">
        <f t="shared" si="11"/>
        <v>-9.1710000011152886</v>
      </c>
      <c r="D100" s="26">
        <f t="shared" si="10"/>
        <v>18.594000005645995</v>
      </c>
      <c r="E100" s="26">
        <f t="shared" si="10"/>
        <v>36.479999989218811</v>
      </c>
      <c r="F100" s="26">
        <f t="shared" si="12"/>
        <v>55.073999994864806</v>
      </c>
    </row>
    <row r="101" spans="1:6" x14ac:dyDescent="0.2">
      <c r="A101" t="str">
        <f>$A$16</f>
        <v>Media</v>
      </c>
      <c r="B101" s="26">
        <f t="shared" si="10"/>
        <v>7.3579999997808017</v>
      </c>
      <c r="C101" s="26">
        <f t="shared" si="11"/>
        <v>-1.9090000000759417</v>
      </c>
      <c r="D101" s="26">
        <f t="shared" si="10"/>
        <v>-0.67999999985474702</v>
      </c>
      <c r="E101" s="26">
        <f t="shared" si="10"/>
        <v>-0.51399999989046918</v>
      </c>
      <c r="F101" s="26">
        <f t="shared" si="12"/>
        <v>-1.1939999997452162</v>
      </c>
    </row>
    <row r="102" spans="1:6" x14ac:dyDescent="0.2">
      <c r="A102" t="str">
        <f>$A$17</f>
        <v>Information technology</v>
      </c>
      <c r="B102" s="26">
        <f t="shared" si="10"/>
        <v>-6.2990000004535318</v>
      </c>
      <c r="C102" s="26">
        <f t="shared" si="11"/>
        <v>-2.2030000004246375</v>
      </c>
      <c r="D102" s="26">
        <f t="shared" si="10"/>
        <v>3.8000000006773291</v>
      </c>
      <c r="E102" s="26">
        <f t="shared" si="10"/>
        <v>4.0609999995512425</v>
      </c>
      <c r="F102" s="26">
        <f t="shared" si="12"/>
        <v>7.8610000002285716</v>
      </c>
    </row>
    <row r="103" spans="1:6" x14ac:dyDescent="0.2">
      <c r="A103" t="str">
        <f>$A$18</f>
        <v>Finance and insurance</v>
      </c>
      <c r="B103" s="26">
        <f t="shared" si="10"/>
        <v>-9.9360000002035349</v>
      </c>
      <c r="C103" s="26">
        <f t="shared" si="11"/>
        <v>8.9199999996064605</v>
      </c>
      <c r="D103" s="26">
        <f t="shared" si="10"/>
        <v>-4.6999998890385086E-2</v>
      </c>
      <c r="E103" s="26">
        <f t="shared" si="10"/>
        <v>-3.3700000004597257</v>
      </c>
      <c r="F103" s="26">
        <f t="shared" si="12"/>
        <v>-3.4169999993501108</v>
      </c>
    </row>
    <row r="104" spans="1:6" x14ac:dyDescent="0.2">
      <c r="A104" t="str">
        <f>$A$19</f>
        <v>Real estate</v>
      </c>
      <c r="B104" s="26">
        <f t="shared" si="10"/>
        <v>4.3430000001989697</v>
      </c>
      <c r="C104" s="26">
        <f t="shared" si="11"/>
        <v>2.0699999996148506</v>
      </c>
      <c r="D104" s="26">
        <f t="shared" si="10"/>
        <v>-5.8419999993038161</v>
      </c>
      <c r="E104" s="26">
        <f t="shared" si="10"/>
        <v>0.3409999994094477</v>
      </c>
      <c r="F104" s="26">
        <f t="shared" si="12"/>
        <v>-5.5009999998943684</v>
      </c>
    </row>
    <row r="105" spans="1:6" x14ac:dyDescent="0.2">
      <c r="A105" t="str">
        <f>$A$20</f>
        <v>Professional services</v>
      </c>
      <c r="B105" s="26">
        <f t="shared" si="10"/>
        <v>27.313999996494061</v>
      </c>
      <c r="C105" s="26">
        <f t="shared" si="11"/>
        <v>-5.8980000005557258</v>
      </c>
      <c r="D105" s="26">
        <f t="shared" si="10"/>
        <v>14.447000002012715</v>
      </c>
      <c r="E105" s="26">
        <f t="shared" si="10"/>
        <v>21.237000001946285</v>
      </c>
      <c r="F105" s="26">
        <f t="shared" si="12"/>
        <v>35.684000003959</v>
      </c>
    </row>
    <row r="106" spans="1:6" x14ac:dyDescent="0.2">
      <c r="A106" s="10" t="str">
        <f>$A$21</f>
        <v>Support services</v>
      </c>
      <c r="B106" s="26">
        <f t="shared" ref="B106:B111" si="13">C21-B21</f>
        <v>3.545000000856902</v>
      </c>
      <c r="C106" s="26">
        <f t="shared" ref="C106:C111" si="14">D21-C21</f>
        <v>-6.5830000005637714</v>
      </c>
      <c r="D106" s="26">
        <f t="shared" ref="D106:D111" si="15">E21-D21</f>
        <v>21.040000001745426</v>
      </c>
      <c r="E106" s="26">
        <f t="shared" ref="E106:E111" si="16">F21-E21</f>
        <v>20.6349999985338</v>
      </c>
      <c r="F106" s="26">
        <f t="shared" si="12"/>
        <v>41.675000000279226</v>
      </c>
    </row>
    <row r="107" spans="1:6" x14ac:dyDescent="0.2">
      <c r="A107" s="10" t="str">
        <f>$A$22</f>
        <v>Public admin. and defence</v>
      </c>
      <c r="B107" s="26">
        <f t="shared" si="13"/>
        <v>2.6119999993041461</v>
      </c>
      <c r="C107" s="26">
        <f t="shared" si="14"/>
        <v>6.1729999997930065</v>
      </c>
      <c r="D107" s="26">
        <f t="shared" si="15"/>
        <v>5.8509999994711279</v>
      </c>
      <c r="E107" s="26">
        <f t="shared" si="16"/>
        <v>2.3320000013736291</v>
      </c>
      <c r="F107" s="26">
        <f t="shared" si="12"/>
        <v>8.183000000844757</v>
      </c>
    </row>
    <row r="108" spans="1:6" x14ac:dyDescent="0.2">
      <c r="A108" s="10" t="str">
        <f>$A$23</f>
        <v>Education</v>
      </c>
      <c r="B108" s="26">
        <f t="shared" si="13"/>
        <v>11.159999993286817</v>
      </c>
      <c r="C108" s="26">
        <f t="shared" si="14"/>
        <v>-9.957999998890017</v>
      </c>
      <c r="D108" s="26">
        <f t="shared" si="15"/>
        <v>5.0799999813479815</v>
      </c>
      <c r="E108" s="26">
        <f t="shared" si="16"/>
        <v>14.115000024233666</v>
      </c>
      <c r="F108" s="26">
        <f t="shared" si="12"/>
        <v>19.195000005581647</v>
      </c>
    </row>
    <row r="109" spans="1:6" x14ac:dyDescent="0.2">
      <c r="A109" s="10" t="str">
        <f>$A$24</f>
        <v>Health and social work</v>
      </c>
      <c r="B109" s="26">
        <f t="shared" si="13"/>
        <v>-2.3820000009961291</v>
      </c>
      <c r="C109" s="26">
        <f t="shared" si="14"/>
        <v>-15.424999996934616</v>
      </c>
      <c r="D109" s="26">
        <f t="shared" si="15"/>
        <v>35.733999996581076</v>
      </c>
      <c r="E109" s="26">
        <f t="shared" si="16"/>
        <v>53.648000004157893</v>
      </c>
      <c r="F109" s="26">
        <f t="shared" si="12"/>
        <v>89.382000000738969</v>
      </c>
    </row>
    <row r="110" spans="1:6" x14ac:dyDescent="0.2">
      <c r="A110" s="10" t="str">
        <f>$A$25</f>
        <v>Arts and entertainment</v>
      </c>
      <c r="B110" s="26">
        <f t="shared" si="13"/>
        <v>6.7249999990830389</v>
      </c>
      <c r="C110" s="26">
        <f t="shared" si="14"/>
        <v>-8.7760000002038083</v>
      </c>
      <c r="D110" s="26">
        <f t="shared" si="15"/>
        <v>13.976000000944083</v>
      </c>
      <c r="E110" s="26">
        <f t="shared" si="16"/>
        <v>14.661000000594896</v>
      </c>
      <c r="F110" s="26">
        <f t="shared" si="12"/>
        <v>28.637000001538979</v>
      </c>
    </row>
    <row r="111" spans="1:6" x14ac:dyDescent="0.2">
      <c r="A111" s="10" t="str">
        <f>$A$26</f>
        <v>Other services</v>
      </c>
      <c r="B111" s="26">
        <f t="shared" si="13"/>
        <v>10.9040000000047</v>
      </c>
      <c r="C111" s="26">
        <f t="shared" si="14"/>
        <v>-6.4390000007351489</v>
      </c>
      <c r="D111" s="26">
        <f t="shared" si="15"/>
        <v>2.8560000009391757</v>
      </c>
      <c r="E111" s="26">
        <f t="shared" si="16"/>
        <v>2.0549999996263608</v>
      </c>
      <c r="F111" s="26">
        <f t="shared" si="12"/>
        <v>4.9110000005655365</v>
      </c>
    </row>
    <row r="112" spans="1:6" x14ac:dyDescent="0.2">
      <c r="B112" s="26"/>
      <c r="C112" s="26"/>
      <c r="D112" s="26"/>
      <c r="E112" s="26"/>
      <c r="F112" s="26"/>
    </row>
    <row r="113" spans="1:6" x14ac:dyDescent="0.2">
      <c r="A113" s="23" t="str">
        <f>$A$28</f>
        <v>All industries</v>
      </c>
      <c r="B113" s="28">
        <f>C28-B28</f>
        <v>144.2550000025376</v>
      </c>
      <c r="C113" s="28">
        <f>D28-C28</f>
        <v>-32.520000003186851</v>
      </c>
      <c r="D113" s="28">
        <f>E28-D28</f>
        <v>129.06799999787017</v>
      </c>
      <c r="E113" s="28">
        <f>F28-E28</f>
        <v>181.43800000295823</v>
      </c>
      <c r="F113" s="28">
        <f t="shared" si="12"/>
        <v>310.50600000082841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40625"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3  Employment by Industry (SIC 2007), ",B$3,"-",F$3,", ",Info!B5)</f>
        <v>Industry Table 3  Employment by Industry (SIC 2007), 2015-2035, South West</v>
      </c>
    </row>
    <row r="2" spans="1:7" x14ac:dyDescent="0.2">
      <c r="A2" s="1" t="s">
        <v>533</v>
      </c>
    </row>
    <row r="3" spans="1:7" x14ac:dyDescent="0.2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2">
      <c r="A4" s="1" t="s">
        <v>13</v>
      </c>
    </row>
    <row r="5" spans="1:7" x14ac:dyDescent="0.2">
      <c r="A5" t="str">
        <f>name!A4</f>
        <v>Agriculture, etc</v>
      </c>
      <c r="B5" s="11">
        <v>47.735999999941654</v>
      </c>
      <c r="C5" s="11">
        <v>47.696000000365181</v>
      </c>
      <c r="D5" s="11">
        <v>58.314000000000618</v>
      </c>
      <c r="E5" s="11">
        <v>60.366999999567113</v>
      </c>
      <c r="F5" s="11">
        <v>62.039999999227852</v>
      </c>
      <c r="G5" s="10"/>
    </row>
    <row r="6" spans="1:7" x14ac:dyDescent="0.2">
      <c r="A6" t="str">
        <f>name!A5</f>
        <v>Coal, oil &amp; gas; Mining &amp; related</v>
      </c>
      <c r="B6" s="11">
        <v>4.6809999999860983</v>
      </c>
      <c r="C6" s="11">
        <v>3.4759999999958771</v>
      </c>
      <c r="D6" s="11">
        <v>3.522000000009839</v>
      </c>
      <c r="E6" s="11">
        <v>2.7410000000203789</v>
      </c>
      <c r="F6" s="11">
        <v>1.8950000000172895</v>
      </c>
    </row>
    <row r="7" spans="1:7" x14ac:dyDescent="0.2">
      <c r="A7" t="str">
        <f>name!A6</f>
        <v>Food products</v>
      </c>
      <c r="B7" s="11">
        <v>30.934999999975254</v>
      </c>
      <c r="C7" s="11">
        <v>29.4360000001607</v>
      </c>
      <c r="D7" s="11">
        <v>30.017000000209848</v>
      </c>
      <c r="E7" s="11">
        <v>27.982000000563392</v>
      </c>
      <c r="F7" s="11">
        <v>23.190000000160264</v>
      </c>
      <c r="G7" s="11"/>
    </row>
    <row r="8" spans="1:7" x14ac:dyDescent="0.2">
      <c r="A8" t="str">
        <f>name!A7</f>
        <v>Beverages and tobacco</v>
      </c>
      <c r="B8" s="11">
        <v>4.2339999999869367</v>
      </c>
      <c r="C8" s="11">
        <v>5.2720000000080676</v>
      </c>
      <c r="D8" s="11">
        <v>5.4120000000102513</v>
      </c>
      <c r="E8" s="11">
        <v>5.0950000000751006</v>
      </c>
      <c r="F8" s="11">
        <v>4.3090000000003368</v>
      </c>
      <c r="G8" s="11"/>
    </row>
    <row r="9" spans="1:7" x14ac:dyDescent="0.2">
      <c r="A9" t="str">
        <f>name!A8</f>
        <v>Textiles</v>
      </c>
      <c r="B9" s="11">
        <v>3.3630000000054832</v>
      </c>
      <c r="C9" s="11">
        <v>1.904000000013935</v>
      </c>
      <c r="D9" s="11">
        <v>2.1189999999984122</v>
      </c>
      <c r="E9" s="11">
        <v>1.8390000000231865</v>
      </c>
      <c r="F9" s="11">
        <v>1.5500000000105041</v>
      </c>
      <c r="G9" s="11"/>
    </row>
    <row r="10" spans="1:7" x14ac:dyDescent="0.2">
      <c r="A10" t="str">
        <f>name!A9</f>
        <v>Wearing apparel; Leather, etc</v>
      </c>
      <c r="B10" s="11">
        <v>3.3130000000014648</v>
      </c>
      <c r="C10" s="11">
        <v>3.3950000000201621</v>
      </c>
      <c r="D10" s="11">
        <v>3.7449999999992682</v>
      </c>
      <c r="E10" s="11">
        <v>3.2609999999977286</v>
      </c>
      <c r="F10" s="11">
        <v>2.7620000000211991</v>
      </c>
      <c r="G10" s="11"/>
    </row>
    <row r="11" spans="1:7" x14ac:dyDescent="0.2">
      <c r="A11" t="str">
        <f>name!A10</f>
        <v xml:space="preserve">Wood and cork </v>
      </c>
      <c r="B11" s="11">
        <v>6.4239999999995652</v>
      </c>
      <c r="C11" s="11">
        <v>4.1940000000088178</v>
      </c>
      <c r="D11" s="11">
        <v>4.4820000000101343</v>
      </c>
      <c r="E11" s="11">
        <v>4.7440000000114004</v>
      </c>
      <c r="F11" s="11">
        <v>4.5460000000370338</v>
      </c>
      <c r="G11" s="11"/>
    </row>
    <row r="12" spans="1:7" x14ac:dyDescent="0.2">
      <c r="A12" t="str">
        <f>name!A11</f>
        <v>Paper, etc</v>
      </c>
      <c r="B12" s="11">
        <v>4.8910000000141061</v>
      </c>
      <c r="C12" s="11">
        <v>4.3530000000073663</v>
      </c>
      <c r="D12" s="11">
        <v>3.9560000000174251</v>
      </c>
      <c r="E12" s="11">
        <v>4.2270000000392001</v>
      </c>
      <c r="F12" s="11">
        <v>4.0800000000421361</v>
      </c>
      <c r="G12" s="11"/>
    </row>
    <row r="13" spans="1:7" x14ac:dyDescent="0.2">
      <c r="A13" t="str">
        <f>name!A12</f>
        <v>Printing and recording</v>
      </c>
      <c r="B13" s="11">
        <v>8.4750000000056893</v>
      </c>
      <c r="C13" s="11">
        <v>9.2739999999701457</v>
      </c>
      <c r="D13" s="11">
        <v>9.3929999999636546</v>
      </c>
      <c r="E13" s="11">
        <v>8.5490000000321871</v>
      </c>
      <c r="F13" s="11">
        <v>6.9290000000438869</v>
      </c>
      <c r="G13" s="11"/>
    </row>
    <row r="14" spans="1:7" x14ac:dyDescent="0.2">
      <c r="A14" t="str">
        <f>name!A13</f>
        <v>Coke and petroleum; Chemicals, etc</v>
      </c>
      <c r="B14" s="11">
        <v>5.6619999999818074</v>
      </c>
      <c r="C14" s="11">
        <v>7.7449999999749917</v>
      </c>
      <c r="D14" s="11">
        <v>7.8749999999565405</v>
      </c>
      <c r="E14" s="11">
        <v>8.5280000000514633</v>
      </c>
      <c r="F14" s="11">
        <v>9.1989999999989163</v>
      </c>
      <c r="G14" s="11"/>
    </row>
    <row r="15" spans="1:7" x14ac:dyDescent="0.2">
      <c r="A15" t="str">
        <f>name!A14</f>
        <v>Pharmaceuticals</v>
      </c>
      <c r="B15" s="11">
        <v>2.5869999999970252</v>
      </c>
      <c r="C15" s="11">
        <v>5.0169999999824091</v>
      </c>
      <c r="D15" s="11">
        <v>5.1169999999688054</v>
      </c>
      <c r="E15" s="11">
        <v>5.8830000000026654</v>
      </c>
      <c r="F15" s="11">
        <v>6.0119999999982436</v>
      </c>
      <c r="G15" s="11"/>
    </row>
    <row r="16" spans="1:7" x14ac:dyDescent="0.2">
      <c r="A16" t="str">
        <f>name!A15</f>
        <v>Rubber and plastic</v>
      </c>
      <c r="B16" s="11">
        <v>14.46199999999688</v>
      </c>
      <c r="C16" s="11">
        <v>11.865000000008619</v>
      </c>
      <c r="D16" s="11">
        <v>12.589000000041191</v>
      </c>
      <c r="E16" s="11">
        <v>12.727000000136041</v>
      </c>
      <c r="F16" s="11">
        <v>11.415000000086014</v>
      </c>
      <c r="G16" s="11"/>
    </row>
    <row r="17" spans="1:7" x14ac:dyDescent="0.2">
      <c r="A17" t="str">
        <f>name!A16</f>
        <v>Other non-metallic</v>
      </c>
      <c r="B17" s="11">
        <v>3.9119999999909094</v>
      </c>
      <c r="C17" s="11">
        <v>5.2290000000170336</v>
      </c>
      <c r="D17" s="11">
        <v>5.0410000000212793</v>
      </c>
      <c r="E17" s="11">
        <v>5.1030000000703897</v>
      </c>
      <c r="F17" s="11">
        <v>4.5760000000327041</v>
      </c>
      <c r="G17" s="11"/>
    </row>
    <row r="18" spans="1:7" x14ac:dyDescent="0.2">
      <c r="A18" t="str">
        <f>name!A17</f>
        <v>Basic metals</v>
      </c>
      <c r="B18" s="11">
        <v>2.4219999999975155</v>
      </c>
      <c r="C18" s="11">
        <v>3.0119999999977844</v>
      </c>
      <c r="D18" s="11">
        <v>2.6810000000034027</v>
      </c>
      <c r="E18" s="11">
        <v>2.5230000000077815</v>
      </c>
      <c r="F18" s="11">
        <v>2.2140000000127893</v>
      </c>
      <c r="G18" s="11"/>
    </row>
    <row r="19" spans="1:7" x14ac:dyDescent="0.2">
      <c r="A19" t="str">
        <f>name!A18</f>
        <v>Metal products</v>
      </c>
      <c r="B19" s="11">
        <v>24.974999999973363</v>
      </c>
      <c r="C19" s="11">
        <v>27.86600000002586</v>
      </c>
      <c r="D19" s="11">
        <v>25.411000000053686</v>
      </c>
      <c r="E19" s="11">
        <v>23.895000000179969</v>
      </c>
      <c r="F19" s="11">
        <v>20.930000000153687</v>
      </c>
      <c r="G19" s="11"/>
    </row>
    <row r="20" spans="1:7" x14ac:dyDescent="0.2">
      <c r="A20" t="str">
        <f>name!A19</f>
        <v>Computer, etc</v>
      </c>
      <c r="B20" s="11">
        <v>12.643999999964793</v>
      </c>
      <c r="C20" s="11">
        <v>13.342999999960279</v>
      </c>
      <c r="D20" s="11">
        <v>13.864999999974902</v>
      </c>
      <c r="E20" s="11">
        <v>13.652000000152503</v>
      </c>
      <c r="F20" s="11">
        <v>9.9400000000737023</v>
      </c>
      <c r="G20" s="11"/>
    </row>
    <row r="21" spans="1:7" x14ac:dyDescent="0.2">
      <c r="A21" t="str">
        <f>name!A20</f>
        <v>Electrical equipment</v>
      </c>
      <c r="B21" s="11">
        <v>12.185999999954907</v>
      </c>
      <c r="C21" s="11">
        <v>10.655000000006705</v>
      </c>
      <c r="D21" s="11">
        <v>9.932999999992516</v>
      </c>
      <c r="E21" s="11">
        <v>9.5180000000892342</v>
      </c>
      <c r="F21" s="11">
        <v>9.1120000000323778</v>
      </c>
      <c r="G21" s="11"/>
    </row>
    <row r="22" spans="1:7" x14ac:dyDescent="0.2">
      <c r="A22" t="str">
        <f>name!A21</f>
        <v>Machinery n.e.c.</v>
      </c>
      <c r="B22" s="11">
        <v>18.869999999941129</v>
      </c>
      <c r="C22" s="11">
        <v>19.210000000004015</v>
      </c>
      <c r="D22" s="11">
        <v>18.304999999993935</v>
      </c>
      <c r="E22" s="11">
        <v>17.374000000117103</v>
      </c>
      <c r="F22" s="11">
        <v>14.697000000084216</v>
      </c>
      <c r="G22" s="11"/>
    </row>
    <row r="23" spans="1:7" x14ac:dyDescent="0.2">
      <c r="A23" t="str">
        <f>name!A22</f>
        <v>Motor vehicles, etc</v>
      </c>
      <c r="B23" s="11">
        <v>8.8269999999945625</v>
      </c>
      <c r="C23" s="11">
        <v>8.4730000000063708</v>
      </c>
      <c r="D23" s="11">
        <v>8.0190000000282851</v>
      </c>
      <c r="E23" s="11">
        <v>7.8640000000742338</v>
      </c>
      <c r="F23" s="11">
        <v>6.8850000000600184</v>
      </c>
      <c r="G23" s="11"/>
    </row>
    <row r="24" spans="1:7" x14ac:dyDescent="0.2">
      <c r="A24" t="str">
        <f>name!A23</f>
        <v>Other transport equipment</v>
      </c>
      <c r="B24" s="11">
        <v>33.453999999916711</v>
      </c>
      <c r="C24" s="11">
        <v>34.676999999986606</v>
      </c>
      <c r="D24" s="11">
        <v>35.50399999999911</v>
      </c>
      <c r="E24" s="11">
        <v>32.177000000141803</v>
      </c>
      <c r="F24" s="11">
        <v>36.257000000112583</v>
      </c>
      <c r="G24" s="11"/>
    </row>
    <row r="25" spans="1:7" x14ac:dyDescent="0.2">
      <c r="A25" t="str">
        <f>name!A24</f>
        <v>Furniture</v>
      </c>
      <c r="B25" s="11">
        <v>8.3629999999910005</v>
      </c>
      <c r="C25" s="11">
        <v>6.3300000000164278</v>
      </c>
      <c r="D25" s="11">
        <v>6.5540000000360967</v>
      </c>
      <c r="E25" s="11">
        <v>5.9500000000633717</v>
      </c>
      <c r="F25" s="11">
        <v>6.0450000000585122</v>
      </c>
      <c r="G25" s="11"/>
    </row>
    <row r="26" spans="1:7" x14ac:dyDescent="0.2">
      <c r="A26" t="str">
        <f>name!A25</f>
        <v>Other manufacturing</v>
      </c>
      <c r="B26" s="11">
        <v>7.7859999999693512</v>
      </c>
      <c r="C26" s="11">
        <v>17.804000000041579</v>
      </c>
      <c r="D26" s="11">
        <v>18.57400000002503</v>
      </c>
      <c r="E26" s="11">
        <v>16.781000000207339</v>
      </c>
      <c r="F26" s="11">
        <v>17.01500000002703</v>
      </c>
      <c r="G26" s="11"/>
    </row>
    <row r="27" spans="1:7" x14ac:dyDescent="0.2">
      <c r="A27" t="str">
        <f>name!A26</f>
        <v>Repair and installation</v>
      </c>
      <c r="B27" s="11">
        <v>10.067999999991736</v>
      </c>
      <c r="C27" s="11">
        <v>8.4180000000158355</v>
      </c>
      <c r="D27" s="11">
        <v>8.9090000000097156</v>
      </c>
      <c r="E27" s="11">
        <v>8.1150000000434304</v>
      </c>
      <c r="F27" s="11">
        <v>8.374000000027209</v>
      </c>
      <c r="G27" s="11"/>
    </row>
    <row r="28" spans="1:7" x14ac:dyDescent="0.2">
      <c r="A28" t="str">
        <f>name!A27</f>
        <v>Electricity, gas, etc</v>
      </c>
      <c r="B28" s="11">
        <v>7.0339999999593914</v>
      </c>
      <c r="C28" s="11">
        <v>11.115999999992283</v>
      </c>
      <c r="D28" s="11">
        <v>15.351999999954746</v>
      </c>
      <c r="E28" s="11">
        <v>14.492000000170153</v>
      </c>
      <c r="F28" s="11">
        <v>14.067999999897655</v>
      </c>
      <c r="G28" s="11"/>
    </row>
    <row r="29" spans="1:7" x14ac:dyDescent="0.2">
      <c r="A29" t="str">
        <f>name!A28</f>
        <v>Water</v>
      </c>
      <c r="B29" s="11">
        <v>4.3819999999849069</v>
      </c>
      <c r="C29" s="11">
        <v>6.274999999992902</v>
      </c>
      <c r="D29" s="11">
        <v>6.1319999999932779</v>
      </c>
      <c r="E29" s="11">
        <v>6.4940000000549167</v>
      </c>
      <c r="F29" s="11">
        <v>7.0769999999936024</v>
      </c>
      <c r="G29" s="11"/>
    </row>
    <row r="30" spans="1:7" x14ac:dyDescent="0.2">
      <c r="A30" t="str">
        <f>name!A29</f>
        <v>Sewerage</v>
      </c>
      <c r="B30" s="11">
        <v>2.337000000005351</v>
      </c>
      <c r="C30" s="11">
        <v>2.4900000000097036</v>
      </c>
      <c r="D30" s="11">
        <v>2.3990000000245932</v>
      </c>
      <c r="E30" s="11">
        <v>2.5280000000315077</v>
      </c>
      <c r="F30" s="11">
        <v>2.7270000000453503</v>
      </c>
      <c r="G30" s="11"/>
    </row>
    <row r="31" spans="1:7" x14ac:dyDescent="0.2">
      <c r="A31" t="str">
        <f>name!A30</f>
        <v>Waste management</v>
      </c>
      <c r="B31" s="11">
        <v>13.384999999982918</v>
      </c>
      <c r="C31" s="11">
        <v>14.385999999998569</v>
      </c>
      <c r="D31" s="11">
        <v>12.883000000064664</v>
      </c>
      <c r="E31" s="11">
        <v>13.654000000144165</v>
      </c>
      <c r="F31" s="11">
        <v>14.914000000171928</v>
      </c>
      <c r="G31" s="11"/>
    </row>
    <row r="32" spans="1:7" x14ac:dyDescent="0.2">
      <c r="A32" t="str">
        <f>name!A31</f>
        <v>Construction</v>
      </c>
      <c r="B32" s="11">
        <v>53.786999999194016</v>
      </c>
      <c r="C32" s="11">
        <v>81.679000000820594</v>
      </c>
      <c r="D32" s="11">
        <v>82.215999999630441</v>
      </c>
      <c r="E32" s="11">
        <v>89.13899999792055</v>
      </c>
      <c r="F32" s="11">
        <v>98.774999998868438</v>
      </c>
      <c r="G32" s="11"/>
    </row>
    <row r="33" spans="1:7" x14ac:dyDescent="0.2">
      <c r="A33" t="str">
        <f>name!A32</f>
        <v>Civil engineering</v>
      </c>
      <c r="B33" s="11">
        <v>19.444999999673566</v>
      </c>
      <c r="C33" s="11">
        <v>22.949000000274133</v>
      </c>
      <c r="D33" s="11">
        <v>22.202999999898392</v>
      </c>
      <c r="E33" s="11">
        <v>24.112999999296029</v>
      </c>
      <c r="F33" s="11">
        <v>26.714999999617589</v>
      </c>
      <c r="G33" s="11"/>
    </row>
    <row r="34" spans="1:7" x14ac:dyDescent="0.2">
      <c r="A34" t="str">
        <f>name!A33</f>
        <v>Specialised construction</v>
      </c>
      <c r="B34" s="11">
        <v>123.31099999793723</v>
      </c>
      <c r="C34" s="11">
        <v>123.49100000139825</v>
      </c>
      <c r="D34" s="11">
        <v>120.11799999940141</v>
      </c>
      <c r="E34" s="11">
        <v>130.31299999633711</v>
      </c>
      <c r="F34" s="11">
        <v>144.21699999791284</v>
      </c>
      <c r="G34" s="11"/>
    </row>
    <row r="35" spans="1:7" x14ac:dyDescent="0.2">
      <c r="A35" t="str">
        <f>name!A34</f>
        <v>Motor vehicle trade</v>
      </c>
      <c r="B35" s="11">
        <v>65.849000000162164</v>
      </c>
      <c r="C35" s="11">
        <v>59.656000000546932</v>
      </c>
      <c r="D35" s="11">
        <v>57.714000000599043</v>
      </c>
      <c r="E35" s="11">
        <v>58.735000000861582</v>
      </c>
      <c r="F35" s="11">
        <v>60.151000000541508</v>
      </c>
      <c r="G35" s="11"/>
    </row>
    <row r="36" spans="1:7" x14ac:dyDescent="0.2">
      <c r="A36" t="str">
        <f>name!A35</f>
        <v>Wholesale trade</v>
      </c>
      <c r="B36" s="11">
        <v>93.456999999992647</v>
      </c>
      <c r="C36" s="11">
        <v>90.401000000554959</v>
      </c>
      <c r="D36" s="11">
        <v>91.095000000801463</v>
      </c>
      <c r="E36" s="11">
        <v>91.056000002093029</v>
      </c>
      <c r="F36" s="11">
        <v>89.933000000376538</v>
      </c>
      <c r="G36" s="11"/>
    </row>
    <row r="37" spans="1:7" x14ac:dyDescent="0.2">
      <c r="A37" t="str">
        <f>name!A36</f>
        <v>Retail trade</v>
      </c>
      <c r="B37" s="11">
        <v>267.58400000275321</v>
      </c>
      <c r="C37" s="11">
        <v>276.16700000656994</v>
      </c>
      <c r="D37" s="11">
        <v>286.04000000611398</v>
      </c>
      <c r="E37" s="11">
        <v>286.91900001333738</v>
      </c>
      <c r="F37" s="11">
        <v>289.41900000020865</v>
      </c>
      <c r="G37" s="11"/>
    </row>
    <row r="38" spans="1:7" x14ac:dyDescent="0.2">
      <c r="A38" t="str">
        <f>name!A37</f>
        <v>Land transport, etc</v>
      </c>
      <c r="B38" s="11">
        <v>49.648000000115843</v>
      </c>
      <c r="C38" s="11">
        <v>50.682999999668922</v>
      </c>
      <c r="D38" s="11">
        <v>48.142000000706403</v>
      </c>
      <c r="E38" s="11">
        <v>48.394000001377172</v>
      </c>
      <c r="F38" s="11">
        <v>47.586000001065436</v>
      </c>
      <c r="G38" s="11"/>
    </row>
    <row r="39" spans="1:7" x14ac:dyDescent="0.2">
      <c r="A39" t="str">
        <f>name!A38</f>
        <v>Water transport</v>
      </c>
      <c r="B39" s="11">
        <v>1.2079999999961961</v>
      </c>
      <c r="C39" s="11">
        <v>0.63300000000246837</v>
      </c>
      <c r="D39" s="11">
        <v>0.65000000000326141</v>
      </c>
      <c r="E39" s="11">
        <v>0.52700000000849878</v>
      </c>
      <c r="F39" s="11">
        <v>0.46399999999930663</v>
      </c>
      <c r="G39" s="11"/>
    </row>
    <row r="40" spans="1:7" x14ac:dyDescent="0.2">
      <c r="A40" t="str">
        <f>name!A39</f>
        <v>Air transport</v>
      </c>
      <c r="B40" s="11">
        <v>2.0489999999933848</v>
      </c>
      <c r="C40" s="11">
        <v>2.6390000000076541</v>
      </c>
      <c r="D40" s="11">
        <v>2.5970000000100137</v>
      </c>
      <c r="E40" s="11">
        <v>3.2410000000503389</v>
      </c>
      <c r="F40" s="11">
        <v>3.6039999999871228</v>
      </c>
      <c r="G40" s="11"/>
    </row>
    <row r="41" spans="1:7" x14ac:dyDescent="0.2">
      <c r="A41" t="str">
        <f>name!A40</f>
        <v>Warehousing, etc</v>
      </c>
      <c r="B41" s="11">
        <v>31.001000000071279</v>
      </c>
      <c r="C41" s="11">
        <v>34.088000000180905</v>
      </c>
      <c r="D41" s="11">
        <v>33.741000000297284</v>
      </c>
      <c r="E41" s="11">
        <v>35.104000000567993</v>
      </c>
      <c r="F41" s="11">
        <v>35.157000000249468</v>
      </c>
      <c r="G41" s="11"/>
    </row>
    <row r="42" spans="1:7" x14ac:dyDescent="0.2">
      <c r="A42" t="str">
        <f>name!A41</f>
        <v>Postal and courier</v>
      </c>
      <c r="B42" s="11">
        <v>29.019000000014149</v>
      </c>
      <c r="C42" s="11">
        <v>23.524000000235244</v>
      </c>
      <c r="D42" s="11">
        <v>24.881000000323301</v>
      </c>
      <c r="E42" s="11">
        <v>26.155000000782717</v>
      </c>
      <c r="F42" s="11">
        <v>26.737000000108882</v>
      </c>
      <c r="G42" s="11"/>
    </row>
    <row r="43" spans="1:7" x14ac:dyDescent="0.2">
      <c r="A43" t="str">
        <f>name!A42</f>
        <v>Accommodation</v>
      </c>
      <c r="B43" s="11">
        <v>64.713000000074572</v>
      </c>
      <c r="C43" s="11">
        <v>73.817000001084438</v>
      </c>
      <c r="D43" s="11">
        <v>68.613000000737429</v>
      </c>
      <c r="E43" s="11">
        <v>80.614000002606858</v>
      </c>
      <c r="F43" s="11">
        <v>86.564999999448546</v>
      </c>
      <c r="G43" s="11"/>
    </row>
    <row r="44" spans="1:7" x14ac:dyDescent="0.2">
      <c r="A44" t="str">
        <f>name!A43</f>
        <v>Food and beverage services</v>
      </c>
      <c r="B44" s="11">
        <v>151.9290000005775</v>
      </c>
      <c r="C44" s="11">
        <v>186.68100000331521</v>
      </c>
      <c r="D44" s="11">
        <v>182.7140000025469</v>
      </c>
      <c r="E44" s="11">
        <v>189.30700000632348</v>
      </c>
      <c r="F44" s="11">
        <v>219.83599999870057</v>
      </c>
      <c r="G44" s="11"/>
    </row>
    <row r="45" spans="1:7" x14ac:dyDescent="0.2">
      <c r="A45" t="str">
        <f>name!A44</f>
        <v>Publishing activities</v>
      </c>
      <c r="B45" s="11">
        <v>8.2130000000377539</v>
      </c>
      <c r="C45" s="11">
        <v>11.565999999933627</v>
      </c>
      <c r="D45" s="11">
        <v>11.178999999854572</v>
      </c>
      <c r="E45" s="11">
        <v>10.815999999935176</v>
      </c>
      <c r="F45" s="11">
        <v>10.514999999985477</v>
      </c>
      <c r="G45" s="11"/>
    </row>
    <row r="46" spans="1:7" x14ac:dyDescent="0.2">
      <c r="A46" t="str">
        <f>name!A45</f>
        <v>Film and music</v>
      </c>
      <c r="B46" s="11">
        <v>7.498000000065586</v>
      </c>
      <c r="C46" s="11">
        <v>10.184999999959826</v>
      </c>
      <c r="D46" s="11">
        <v>8.6919999999733548</v>
      </c>
      <c r="E46" s="11">
        <v>8.4320000000250683</v>
      </c>
      <c r="F46" s="11">
        <v>8.2670000000778234</v>
      </c>
      <c r="G46" s="11"/>
    </row>
    <row r="47" spans="1:7" x14ac:dyDescent="0.2">
      <c r="A47" t="str">
        <f>name!A46</f>
        <v>Broadcasting</v>
      </c>
      <c r="B47" s="11">
        <v>0.34800000000288644</v>
      </c>
      <c r="C47" s="11">
        <v>1.6659999999935755</v>
      </c>
      <c r="D47" s="11">
        <v>1.6369999999831604</v>
      </c>
      <c r="E47" s="11">
        <v>1.5799999999960959</v>
      </c>
      <c r="F47" s="11">
        <v>1.532000000002572</v>
      </c>
      <c r="G47" s="11"/>
    </row>
    <row r="48" spans="1:7" x14ac:dyDescent="0.2">
      <c r="A48" t="str">
        <f>name!A47</f>
        <v>Telecommunications</v>
      </c>
      <c r="B48" s="11">
        <v>18.83299999990016</v>
      </c>
      <c r="C48" s="11">
        <v>13.996999999867883</v>
      </c>
      <c r="D48" s="11">
        <v>13.264999999779134</v>
      </c>
      <c r="E48" s="11">
        <v>13.969999999933465</v>
      </c>
      <c r="F48" s="11">
        <v>14.725999999782692</v>
      </c>
      <c r="G48" s="11"/>
    </row>
    <row r="49" spans="1:7" x14ac:dyDescent="0.2">
      <c r="A49" t="str">
        <f>name!A48</f>
        <v>Computing services</v>
      </c>
      <c r="B49" s="11">
        <v>43.796999999777455</v>
      </c>
      <c r="C49" s="11">
        <v>48.769999999366867</v>
      </c>
      <c r="D49" s="11">
        <v>47.578999999034629</v>
      </c>
      <c r="E49" s="11">
        <v>50.268999999477835</v>
      </c>
      <c r="F49" s="11">
        <v>53.105999999235998</v>
      </c>
      <c r="G49" s="11"/>
    </row>
    <row r="50" spans="1:7" x14ac:dyDescent="0.2">
      <c r="A50" t="str">
        <f>name!A49</f>
        <v>Information services</v>
      </c>
      <c r="B50" s="11">
        <v>12.948999999967313</v>
      </c>
      <c r="C50" s="11">
        <v>6.512999999956655</v>
      </c>
      <c r="D50" s="11">
        <v>6.2329999999530052</v>
      </c>
      <c r="E50" s="11">
        <v>6.6380000000327843</v>
      </c>
      <c r="F50" s="11">
        <v>7.1059999999766426</v>
      </c>
      <c r="G50" s="11"/>
    </row>
    <row r="51" spans="1:7" x14ac:dyDescent="0.2">
      <c r="A51" t="str">
        <f>name!A50</f>
        <v>Financial services</v>
      </c>
      <c r="B51" s="11">
        <v>41.981999999770643</v>
      </c>
      <c r="C51" s="11">
        <v>35.520999999718036</v>
      </c>
      <c r="D51" s="11">
        <v>39.577999999527748</v>
      </c>
      <c r="E51" s="11">
        <v>39.484000000048169</v>
      </c>
      <c r="F51" s="11">
        <v>37.911999999776725</v>
      </c>
      <c r="G51" s="11"/>
    </row>
    <row r="52" spans="1:7" x14ac:dyDescent="0.2">
      <c r="A52" t="str">
        <f>name!A51</f>
        <v>Insurance and pensions</v>
      </c>
      <c r="B52" s="11">
        <v>9.0099999999589251</v>
      </c>
      <c r="C52" s="11">
        <v>9.6319999999195911</v>
      </c>
      <c r="D52" s="11">
        <v>10.734999999875269</v>
      </c>
      <c r="E52" s="11">
        <v>10.703999999983944</v>
      </c>
      <c r="F52" s="11">
        <v>10.251999999955096</v>
      </c>
      <c r="G52" s="11"/>
    </row>
    <row r="53" spans="1:7" x14ac:dyDescent="0.2">
      <c r="A53" t="str">
        <f>name!A52</f>
        <v>Auxiliary financial services</v>
      </c>
      <c r="B53" s="11">
        <v>36.29099999978434</v>
      </c>
      <c r="C53" s="11">
        <v>32.193999999672762</v>
      </c>
      <c r="D53" s="11">
        <v>35.953999999513819</v>
      </c>
      <c r="E53" s="11">
        <v>36.031999999994348</v>
      </c>
      <c r="F53" s="11">
        <v>34.685999999834905</v>
      </c>
      <c r="G53" s="11"/>
    </row>
    <row r="54" spans="1:7" x14ac:dyDescent="0.2">
      <c r="A54" t="str">
        <f>name!A53</f>
        <v>Real estate</v>
      </c>
      <c r="B54" s="11">
        <v>51.210999999881601</v>
      </c>
      <c r="C54" s="11">
        <v>55.55400000008057</v>
      </c>
      <c r="D54" s="11">
        <v>57.623999999695421</v>
      </c>
      <c r="E54" s="11">
        <v>51.782000000391605</v>
      </c>
      <c r="F54" s="11">
        <v>52.122999999801053</v>
      </c>
      <c r="G54" s="11"/>
    </row>
    <row r="55" spans="1:7" x14ac:dyDescent="0.2">
      <c r="A55" t="str">
        <f>name!A54</f>
        <v>Legal and accounting</v>
      </c>
      <c r="B55" s="11">
        <v>60.808000000105103</v>
      </c>
      <c r="C55" s="11">
        <v>77.537999998683517</v>
      </c>
      <c r="D55" s="11">
        <v>77.010999998524809</v>
      </c>
      <c r="E55" s="11">
        <v>79.722999999292313</v>
      </c>
      <c r="F55" s="11">
        <v>82.401000000176282</v>
      </c>
      <c r="G55" s="11"/>
    </row>
    <row r="56" spans="1:7" x14ac:dyDescent="0.2">
      <c r="A56" t="str">
        <f>name!A55</f>
        <v>Head offices, etc</v>
      </c>
      <c r="B56" s="11">
        <v>52.597999999896267</v>
      </c>
      <c r="C56" s="11">
        <v>66.785999999006791</v>
      </c>
      <c r="D56" s="11">
        <v>66.251999998705287</v>
      </c>
      <c r="E56" s="11">
        <v>67.344999999361079</v>
      </c>
      <c r="F56" s="11">
        <v>68.65799999973062</v>
      </c>
      <c r="G56" s="11"/>
    </row>
    <row r="57" spans="1:7" x14ac:dyDescent="0.2">
      <c r="A57" t="str">
        <f>name!A56</f>
        <v>Architectural and related</v>
      </c>
      <c r="B57" s="11">
        <v>66.488999999664443</v>
      </c>
      <c r="C57" s="11">
        <v>61.507999999134768</v>
      </c>
      <c r="D57" s="11">
        <v>57.904999998750696</v>
      </c>
      <c r="E57" s="11">
        <v>57.556999999522638</v>
      </c>
      <c r="F57" s="11">
        <v>60.346999999390292</v>
      </c>
      <c r="G57" s="11"/>
    </row>
    <row r="58" spans="1:7" x14ac:dyDescent="0.2">
      <c r="A58" t="str">
        <f>name!A57</f>
        <v>Scientific research and development</v>
      </c>
      <c r="B58" s="11">
        <v>11.368000000057002</v>
      </c>
      <c r="C58" s="11">
        <v>12.825999999846468</v>
      </c>
      <c r="D58" s="11">
        <v>11.325999999803075</v>
      </c>
      <c r="E58" s="11">
        <v>13.532999999694361</v>
      </c>
      <c r="F58" s="11">
        <v>16.344999999981258</v>
      </c>
      <c r="G58" s="11"/>
    </row>
    <row r="59" spans="1:7" x14ac:dyDescent="0.2">
      <c r="A59" t="str">
        <f>name!A58</f>
        <v>Advertising, etc</v>
      </c>
      <c r="B59" s="11">
        <v>11.161000000027931</v>
      </c>
      <c r="C59" s="11">
        <v>12.812999999834549</v>
      </c>
      <c r="D59" s="11">
        <v>12.87299999978895</v>
      </c>
      <c r="E59" s="11">
        <v>15.421999999858206</v>
      </c>
      <c r="F59" s="11">
        <v>18.815000000085146</v>
      </c>
      <c r="G59" s="11"/>
    </row>
    <row r="60" spans="1:7" x14ac:dyDescent="0.2">
      <c r="A60" t="str">
        <f>name!A59</f>
        <v>Other professional</v>
      </c>
      <c r="B60" s="11">
        <v>20.04900000004589</v>
      </c>
      <c r="C60" s="11">
        <v>19.957999999802304</v>
      </c>
      <c r="D60" s="11">
        <v>19.276999999762737</v>
      </c>
      <c r="E60" s="11">
        <v>23.067999999957365</v>
      </c>
      <c r="F60" s="11">
        <v>27.973000000104346</v>
      </c>
      <c r="G60" s="11"/>
    </row>
    <row r="61" spans="1:7" x14ac:dyDescent="0.2">
      <c r="A61" t="str">
        <f>name!A60</f>
        <v>Veterinary</v>
      </c>
      <c r="B61" s="11">
        <v>12.818999999724968</v>
      </c>
      <c r="C61" s="11">
        <v>11.176999999707325</v>
      </c>
      <c r="D61" s="11">
        <v>12.064000000124343</v>
      </c>
      <c r="E61" s="11">
        <v>14.506999999786691</v>
      </c>
      <c r="F61" s="11">
        <v>17.852999999950999</v>
      </c>
      <c r="G61" s="11"/>
    </row>
    <row r="62" spans="1:7" x14ac:dyDescent="0.2">
      <c r="A62" t="str">
        <f>name!A61</f>
        <v>Rental and leasing</v>
      </c>
      <c r="B62" s="11">
        <v>13.439000000005374</v>
      </c>
      <c r="C62" s="11">
        <v>14.075000000006595</v>
      </c>
      <c r="D62" s="11">
        <v>14.001000000033359</v>
      </c>
      <c r="E62" s="11">
        <v>15.532000000196531</v>
      </c>
      <c r="F62" s="11">
        <v>17.070000000055185</v>
      </c>
      <c r="G62" s="11"/>
    </row>
    <row r="63" spans="1:7" x14ac:dyDescent="0.2">
      <c r="A63" t="str">
        <f>name!A62</f>
        <v>Employment activities</v>
      </c>
      <c r="B63" s="11">
        <v>63.349000000166434</v>
      </c>
      <c r="C63" s="11">
        <v>68.991000000419248</v>
      </c>
      <c r="D63" s="11">
        <v>67.339000000237164</v>
      </c>
      <c r="E63" s="11">
        <v>74.583000000829713</v>
      </c>
      <c r="F63" s="11">
        <v>81.758000000396066</v>
      </c>
      <c r="G63" s="11"/>
    </row>
    <row r="64" spans="1:7" x14ac:dyDescent="0.2">
      <c r="A64" t="str">
        <f>name!A63</f>
        <v>Travel, etc</v>
      </c>
      <c r="B64" s="11">
        <v>7.204000000008147</v>
      </c>
      <c r="C64" s="11">
        <v>4.9040000000345954</v>
      </c>
      <c r="D64" s="11">
        <v>4.8110000000016662</v>
      </c>
      <c r="E64" s="11">
        <v>5.331000000102474</v>
      </c>
      <c r="F64" s="11">
        <v>5.8509999999994022</v>
      </c>
      <c r="G64" s="11"/>
    </row>
    <row r="65" spans="1:7" x14ac:dyDescent="0.2">
      <c r="A65" t="str">
        <f>name!A64</f>
        <v>Security, etc</v>
      </c>
      <c r="B65" s="11">
        <v>13.318000000040747</v>
      </c>
      <c r="C65" s="11">
        <v>15.060000000094174</v>
      </c>
      <c r="D65" s="11">
        <v>14.815000000085309</v>
      </c>
      <c r="E65" s="11">
        <v>16.423000000204823</v>
      </c>
      <c r="F65" s="11">
        <v>18.024000000119454</v>
      </c>
      <c r="G65" s="11"/>
    </row>
    <row r="66" spans="1:7" x14ac:dyDescent="0.2">
      <c r="A66" t="str">
        <f>name!A65</f>
        <v>Services to buildings</v>
      </c>
      <c r="B66" s="11">
        <v>56.326999999967924</v>
      </c>
      <c r="C66" s="11">
        <v>61.84800000038441</v>
      </c>
      <c r="D66" s="11">
        <v>58.055000000117793</v>
      </c>
      <c r="E66" s="11">
        <v>64.05500000059078</v>
      </c>
      <c r="F66" s="11">
        <v>69.720000000081981</v>
      </c>
      <c r="G66" s="11"/>
    </row>
    <row r="67" spans="1:7" x14ac:dyDescent="0.2">
      <c r="A67" t="str">
        <f>name!A66</f>
        <v>Office administrative</v>
      </c>
      <c r="B67" s="11">
        <v>46.933000000141213</v>
      </c>
      <c r="C67" s="11">
        <v>39.237000000247704</v>
      </c>
      <c r="D67" s="11">
        <v>38.511000000147668</v>
      </c>
      <c r="E67" s="11">
        <v>42.648000000444043</v>
      </c>
      <c r="F67" s="11">
        <v>46.784000000250074</v>
      </c>
      <c r="G67" s="11"/>
    </row>
    <row r="68" spans="1:7" x14ac:dyDescent="0.2">
      <c r="A68" t="str">
        <f>name!A67</f>
        <v>Public administration and defence</v>
      </c>
      <c r="B68" s="11">
        <v>100.1109999998435</v>
      </c>
      <c r="C68" s="11">
        <v>102.72299999914765</v>
      </c>
      <c r="D68" s="11">
        <v>108.89599999894065</v>
      </c>
      <c r="E68" s="11">
        <v>114.74699999841178</v>
      </c>
      <c r="F68" s="11">
        <v>117.07899999978541</v>
      </c>
      <c r="G68" s="11"/>
    </row>
    <row r="69" spans="1:7" x14ac:dyDescent="0.2">
      <c r="A69" t="str">
        <f>name!A68</f>
        <v xml:space="preserve">Education </v>
      </c>
      <c r="B69" s="11">
        <v>240.68400000146443</v>
      </c>
      <c r="C69" s="11">
        <v>251.84399999475124</v>
      </c>
      <c r="D69" s="11">
        <v>241.88599999586123</v>
      </c>
      <c r="E69" s="11">
        <v>246.96599997720921</v>
      </c>
      <c r="F69" s="11">
        <v>261.08100000144287</v>
      </c>
      <c r="G69" s="11"/>
    </row>
    <row r="70" spans="1:7" x14ac:dyDescent="0.2">
      <c r="A70" t="str">
        <f>name!A69</f>
        <v>Health</v>
      </c>
      <c r="B70" s="11">
        <v>215.53999999771588</v>
      </c>
      <c r="C70" s="11">
        <v>229.28699999688686</v>
      </c>
      <c r="D70" s="11">
        <v>226.23399999841899</v>
      </c>
      <c r="E70" s="11">
        <v>253.31599999649282</v>
      </c>
      <c r="F70" s="11">
        <v>298.15999999891085</v>
      </c>
      <c r="G70" s="11"/>
    </row>
    <row r="71" spans="1:7" x14ac:dyDescent="0.2">
      <c r="A71" t="str">
        <f>name!A70</f>
        <v>Residential care</v>
      </c>
      <c r="B71" s="11">
        <v>85.19199999891309</v>
      </c>
      <c r="C71" s="11">
        <v>78.679999998811795</v>
      </c>
      <c r="D71" s="11">
        <v>72.739999999592811</v>
      </c>
      <c r="E71" s="11">
        <v>77.220999998881382</v>
      </c>
      <c r="F71" s="11">
        <v>82.090999999657967</v>
      </c>
      <c r="G71" s="11"/>
    </row>
    <row r="72" spans="1:7" x14ac:dyDescent="0.2">
      <c r="A72" t="str">
        <f>name!A71</f>
        <v>Social work</v>
      </c>
      <c r="B72" s="11">
        <v>92.452999998823856</v>
      </c>
      <c r="C72" s="11">
        <v>82.835999998758027</v>
      </c>
      <c r="D72" s="11">
        <v>76.403999999510305</v>
      </c>
      <c r="E72" s="11">
        <v>80.574999998728927</v>
      </c>
      <c r="F72" s="11">
        <v>84.508999999692222</v>
      </c>
      <c r="G72" s="11"/>
    </row>
    <row r="73" spans="1:7" x14ac:dyDescent="0.2">
      <c r="A73" t="str">
        <f>name!A72</f>
        <v>Arts and entertainment</v>
      </c>
      <c r="B73" s="11">
        <v>11.739000000173903</v>
      </c>
      <c r="C73" s="11">
        <v>14.141999999968643</v>
      </c>
      <c r="D73" s="11">
        <v>12.971999999902438</v>
      </c>
      <c r="E73" s="11">
        <v>14.768000000044292</v>
      </c>
      <c r="F73" s="11">
        <v>16.22900000023731</v>
      </c>
      <c r="G73" s="11"/>
    </row>
    <row r="74" spans="1:7" x14ac:dyDescent="0.2">
      <c r="A74" t="str">
        <f>name!A73</f>
        <v>Libraries, etc</v>
      </c>
      <c r="B74" s="11">
        <v>19.307000000298139</v>
      </c>
      <c r="C74" s="11">
        <v>16.178999999986086</v>
      </c>
      <c r="D74" s="11">
        <v>14.711999999917742</v>
      </c>
      <c r="E74" s="11">
        <v>16.764000000098072</v>
      </c>
      <c r="F74" s="11">
        <v>18.423000000278901</v>
      </c>
      <c r="G74" s="11"/>
    </row>
    <row r="75" spans="1:7" x14ac:dyDescent="0.2">
      <c r="A75" t="str">
        <f>name!A74</f>
        <v>Gambling and betting</v>
      </c>
      <c r="B75" s="11">
        <v>5.5710000000488575</v>
      </c>
      <c r="C75" s="11">
        <v>5.3969999999976332</v>
      </c>
      <c r="D75" s="11">
        <v>4.8739999999947781</v>
      </c>
      <c r="E75" s="11">
        <v>5.7830000000419481</v>
      </c>
      <c r="F75" s="11">
        <v>6.8310000000752984</v>
      </c>
      <c r="G75" s="11"/>
    </row>
    <row r="76" spans="1:7" x14ac:dyDescent="0.2">
      <c r="A76" t="str">
        <f>name!A75</f>
        <v>Sport and recreation</v>
      </c>
      <c r="B76" s="11">
        <v>47.694000000420132</v>
      </c>
      <c r="C76" s="11">
        <v>55.318000000071699</v>
      </c>
      <c r="D76" s="11">
        <v>49.702000000005299</v>
      </c>
      <c r="E76" s="11">
        <v>58.921000000580015</v>
      </c>
      <c r="F76" s="11">
        <v>69.414000000767729</v>
      </c>
      <c r="G76" s="11"/>
    </row>
    <row r="77" spans="1:7" x14ac:dyDescent="0.2">
      <c r="A77" t="str">
        <f>name!A76</f>
        <v>Membership organisations</v>
      </c>
      <c r="B77" s="11">
        <v>33.086000000199014</v>
      </c>
      <c r="C77" s="11">
        <v>35.667999999646305</v>
      </c>
      <c r="D77" s="11">
        <v>31.666999999575513</v>
      </c>
      <c r="E77" s="11">
        <v>32.649999999679068</v>
      </c>
      <c r="F77" s="11">
        <v>33.221000000144087</v>
      </c>
      <c r="G77" s="11"/>
    </row>
    <row r="78" spans="1:7" x14ac:dyDescent="0.2">
      <c r="A78" t="str">
        <f>name!A77</f>
        <v>Repair of goods</v>
      </c>
      <c r="B78" s="11">
        <v>4.7590000000023718</v>
      </c>
      <c r="C78" s="11">
        <v>7.6970000000411831</v>
      </c>
      <c r="D78" s="11">
        <v>8.3579999999698646</v>
      </c>
      <c r="E78" s="11">
        <v>8.8530000000858244</v>
      </c>
      <c r="F78" s="11">
        <v>9.3009999999697133</v>
      </c>
      <c r="G78" s="11"/>
    </row>
    <row r="79" spans="1:7" x14ac:dyDescent="0.2">
      <c r="A79" t="str">
        <f>name!A78</f>
        <v>Other personal service</v>
      </c>
      <c r="B79" s="11">
        <v>35.314000000146386</v>
      </c>
      <c r="C79" s="11">
        <v>40.69800000066499</v>
      </c>
      <c r="D79" s="11">
        <v>37.599000000071953</v>
      </c>
      <c r="E79" s="11">
        <v>38.977000000791605</v>
      </c>
      <c r="F79" s="11">
        <v>40.013000000069063</v>
      </c>
      <c r="G79" s="11"/>
    </row>
    <row r="80" spans="1:7" x14ac:dyDescent="0.2">
      <c r="B80" s="11"/>
      <c r="C80" s="11"/>
      <c r="D80" s="11"/>
      <c r="E80" s="11"/>
      <c r="F80" s="11"/>
      <c r="G80" s="11"/>
    </row>
    <row r="81" spans="1:7" x14ac:dyDescent="0.2">
      <c r="A81" s="23" t="str">
        <f>name!A3</f>
        <v>All industries</v>
      </c>
      <c r="B81" s="33">
        <f>SUM(B5:B79)</f>
        <v>2817.8519999971136</v>
      </c>
      <c r="C81" s="33">
        <f t="shared" ref="C81:F81" si="0">SUM(C5:C79)</f>
        <v>2962.1069999996516</v>
      </c>
      <c r="D81" s="33">
        <f t="shared" si="0"/>
        <v>2929.5869999964661</v>
      </c>
      <c r="E81" s="33">
        <f t="shared" si="0"/>
        <v>3058.6549999943345</v>
      </c>
      <c r="F81" s="33">
        <f t="shared" si="0"/>
        <v>3240.0929999972936</v>
      </c>
      <c r="G81" s="11"/>
    </row>
    <row r="82" spans="1:7" x14ac:dyDescent="0.2">
      <c r="B82" s="11"/>
      <c r="C82" s="11"/>
      <c r="D82" s="11"/>
      <c r="E82" s="11"/>
      <c r="F82" s="11"/>
      <c r="G82" s="11"/>
    </row>
    <row r="83" spans="1:7" x14ac:dyDescent="0.2">
      <c r="B83" s="11"/>
      <c r="C83" s="11"/>
      <c r="D83" s="11"/>
      <c r="E83" s="11"/>
      <c r="F83" s="11"/>
      <c r="G83" s="11"/>
    </row>
    <row r="84" spans="1:7" x14ac:dyDescent="0.2">
      <c r="B84" s="11"/>
      <c r="C84" s="11"/>
      <c r="D84" s="11"/>
      <c r="E84" s="11"/>
      <c r="F84" s="11"/>
      <c r="G84" s="11"/>
    </row>
    <row r="85" spans="1:7" ht="15.75" x14ac:dyDescent="0.25">
      <c r="A85" s="18" t="str">
        <f>CONCATENATE($A$1," (Continued)")</f>
        <v>Industry Table 3  Employment by Industry (SIC 2007), 2015-2035, South West (Continued)</v>
      </c>
      <c r="B85" s="17"/>
      <c r="C85" s="17"/>
      <c r="D85" s="17"/>
      <c r="E85" s="17"/>
      <c r="F85" s="17"/>
      <c r="G85" s="11"/>
    </row>
    <row r="87" spans="1:7" x14ac:dyDescent="0.2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2">
      <c r="A88" s="27" t="s">
        <v>463</v>
      </c>
    </row>
    <row r="89" spans="1:7" x14ac:dyDescent="0.2">
      <c r="A89" t="str">
        <f>$A$5</f>
        <v>Agriculture, etc</v>
      </c>
      <c r="B89" s="17">
        <f t="shared" ref="B89:F98" si="1">B5/B$81*100</f>
        <v>1.6940563237526511</v>
      </c>
      <c r="C89" s="17">
        <f t="shared" si="1"/>
        <v>1.6102051681580305</v>
      </c>
      <c r="D89" s="17">
        <f t="shared" si="1"/>
        <v>1.9905194827827595</v>
      </c>
      <c r="E89" s="17">
        <f t="shared" si="1"/>
        <v>1.9736452787149559</v>
      </c>
      <c r="F89" s="17">
        <f t="shared" si="1"/>
        <v>1.914759854093067</v>
      </c>
    </row>
    <row r="90" spans="1:7" x14ac:dyDescent="0.2">
      <c r="A90" t="str">
        <f>$A$6</f>
        <v>Coal, oil &amp; gas; Mining &amp; related</v>
      </c>
      <c r="B90" s="17">
        <f t="shared" si="1"/>
        <v>0.16611944133300446</v>
      </c>
      <c r="C90" s="17">
        <f t="shared" si="1"/>
        <v>0.11734890063040551</v>
      </c>
      <c r="D90" s="17">
        <f t="shared" si="1"/>
        <v>0.1202217240865039</v>
      </c>
      <c r="E90" s="17">
        <f t="shared" si="1"/>
        <v>8.9614552802635666E-2</v>
      </c>
      <c r="F90" s="17">
        <f t="shared" si="1"/>
        <v>5.848597555745691E-2</v>
      </c>
    </row>
    <row r="91" spans="1:7" x14ac:dyDescent="0.2">
      <c r="A91" t="str">
        <f>$A$7</f>
        <v>Food products</v>
      </c>
      <c r="B91" s="17">
        <f t="shared" si="1"/>
        <v>1.0978220289783474</v>
      </c>
      <c r="C91" s="17">
        <f t="shared" si="1"/>
        <v>0.99375208256029102</v>
      </c>
      <c r="D91" s="17">
        <f t="shared" si="1"/>
        <v>1.0246154150822644</v>
      </c>
      <c r="E91" s="17">
        <f t="shared" si="1"/>
        <v>0.91484655839299367</v>
      </c>
      <c r="F91" s="17">
        <f t="shared" si="1"/>
        <v>0.71572019692581768</v>
      </c>
    </row>
    <row r="92" spans="1:7" x14ac:dyDescent="0.2">
      <c r="A92" t="str">
        <f>$A$8</f>
        <v>Beverages and tobacco</v>
      </c>
      <c r="B92" s="17">
        <f t="shared" si="1"/>
        <v>0.15025629451054467</v>
      </c>
      <c r="C92" s="17">
        <f t="shared" si="1"/>
        <v>0.17798141660678321</v>
      </c>
      <c r="D92" s="17">
        <f t="shared" si="1"/>
        <v>0.18473593718216186</v>
      </c>
      <c r="E92" s="17">
        <f t="shared" si="1"/>
        <v>0.16657648541873921</v>
      </c>
      <c r="F92" s="17">
        <f t="shared" si="1"/>
        <v>0.13299000985477688</v>
      </c>
    </row>
    <row r="93" spans="1:7" x14ac:dyDescent="0.2">
      <c r="A93" t="str">
        <f>$A$9</f>
        <v>Textiles</v>
      </c>
      <c r="B93" s="17">
        <f t="shared" si="1"/>
        <v>0.11934622542308566</v>
      </c>
      <c r="C93" s="17">
        <f t="shared" si="1"/>
        <v>6.4278569275659475E-2</v>
      </c>
      <c r="D93" s="17">
        <f t="shared" si="1"/>
        <v>7.2331014576490424E-2</v>
      </c>
      <c r="E93" s="17">
        <f t="shared" si="1"/>
        <v>6.0124466473877987E-2</v>
      </c>
      <c r="F93" s="17">
        <f t="shared" si="1"/>
        <v>4.7838133041607105E-2</v>
      </c>
    </row>
    <row r="94" spans="1:7" x14ac:dyDescent="0.2">
      <c r="A94" t="str">
        <f>$A$10</f>
        <v>Wearing apparel; Leather, etc</v>
      </c>
      <c r="B94" s="17">
        <f t="shared" si="1"/>
        <v>0.11757182421237376</v>
      </c>
      <c r="C94" s="17">
        <f t="shared" si="1"/>
        <v>0.11461436065680819</v>
      </c>
      <c r="D94" s="17">
        <f t="shared" si="1"/>
        <v>0.1278337185413434</v>
      </c>
      <c r="E94" s="17">
        <f t="shared" si="1"/>
        <v>0.10661548948814982</v>
      </c>
      <c r="F94" s="17">
        <f t="shared" si="1"/>
        <v>8.5244466749056461E-2</v>
      </c>
    </row>
    <row r="95" spans="1:7" x14ac:dyDescent="0.2">
      <c r="A95" t="str">
        <f>$A$11</f>
        <v xml:space="preserve">Wood and cork </v>
      </c>
      <c r="B95" s="17">
        <f t="shared" si="1"/>
        <v>0.22797506753392816</v>
      </c>
      <c r="C95" s="17">
        <f t="shared" si="1"/>
        <v>0.14158840312012061</v>
      </c>
      <c r="D95" s="17">
        <f t="shared" si="1"/>
        <v>0.15299084819858708</v>
      </c>
      <c r="E95" s="17">
        <f t="shared" si="1"/>
        <v>0.15510085315343469</v>
      </c>
      <c r="F95" s="17">
        <f t="shared" si="1"/>
        <v>0.14030461471447983</v>
      </c>
    </row>
    <row r="96" spans="1:7" x14ac:dyDescent="0.2">
      <c r="A96" t="str">
        <f>$A$12</f>
        <v>Paper, etc</v>
      </c>
      <c r="B96" s="17">
        <f t="shared" si="1"/>
        <v>0.17357192641838948</v>
      </c>
      <c r="C96" s="17">
        <f t="shared" si="1"/>
        <v>0.14695620381059421</v>
      </c>
      <c r="D96" s="17">
        <f t="shared" si="1"/>
        <v>0.13503609894576254</v>
      </c>
      <c r="E96" s="17">
        <f t="shared" si="1"/>
        <v>0.13819799879512495</v>
      </c>
      <c r="F96" s="17">
        <f t="shared" si="1"/>
        <v>0.12592231149061289</v>
      </c>
    </row>
    <row r="97" spans="1:6" x14ac:dyDescent="0.2">
      <c r="A97" t="str">
        <f>$A$13</f>
        <v>Printing and recording</v>
      </c>
      <c r="B97" s="17">
        <f t="shared" si="1"/>
        <v>0.30076100519169813</v>
      </c>
      <c r="C97" s="17">
        <f t="shared" si="1"/>
        <v>0.31308794719337402</v>
      </c>
      <c r="D97" s="17">
        <f t="shared" si="1"/>
        <v>0.32062539873282431</v>
      </c>
      <c r="E97" s="17">
        <f t="shared" si="1"/>
        <v>0.27950193794488171</v>
      </c>
      <c r="F97" s="17">
        <f t="shared" si="1"/>
        <v>0.21385188635170888</v>
      </c>
    </row>
    <row r="98" spans="1:6" x14ac:dyDescent="0.2">
      <c r="A98" t="str">
        <f>$A$14</f>
        <v>Coke and petroleum; Chemicals, etc</v>
      </c>
      <c r="B98" s="17">
        <f t="shared" si="1"/>
        <v>0.20093319308422183</v>
      </c>
      <c r="C98" s="17">
        <f t="shared" si="1"/>
        <v>0.26146928520731705</v>
      </c>
      <c r="D98" s="17">
        <f t="shared" si="1"/>
        <v>0.26880922123036588</v>
      </c>
      <c r="E98" s="17">
        <f t="shared" si="1"/>
        <v>0.27881536165625936</v>
      </c>
      <c r="F98" s="17">
        <f t="shared" si="1"/>
        <v>0.2839116037720707</v>
      </c>
    </row>
    <row r="99" spans="1:6" x14ac:dyDescent="0.2">
      <c r="A99" t="str">
        <f>$A$15</f>
        <v>Pharmaceuticals</v>
      </c>
      <c r="B99" s="17">
        <f t="shared" ref="B99:F108" si="2">B15/B$81*100</f>
        <v>9.1807518634749993E-2</v>
      </c>
      <c r="C99" s="17">
        <f t="shared" si="2"/>
        <v>0.16937267964941843</v>
      </c>
      <c r="D99" s="17">
        <f t="shared" si="2"/>
        <v>0.17466625841714131</v>
      </c>
      <c r="E99" s="17">
        <f t="shared" si="2"/>
        <v>0.19233944331784925</v>
      </c>
      <c r="F99" s="17">
        <f t="shared" si="2"/>
        <v>0.18555022957684439</v>
      </c>
    </row>
    <row r="100" spans="1:6" x14ac:dyDescent="0.2">
      <c r="A100" t="str">
        <f>$A$16</f>
        <v>Rubber and plastic</v>
      </c>
      <c r="B100" s="17">
        <f t="shared" si="2"/>
        <v>0.51322780614495345</v>
      </c>
      <c r="C100" s="17">
        <f t="shared" si="2"/>
        <v>0.40055946662325209</v>
      </c>
      <c r="D100" s="17">
        <f t="shared" si="2"/>
        <v>0.42971927442524754</v>
      </c>
      <c r="E100" s="17">
        <f t="shared" si="2"/>
        <v>0.41609792540053109</v>
      </c>
      <c r="F100" s="17">
        <f t="shared" si="2"/>
        <v>0.35230470236797368</v>
      </c>
    </row>
    <row r="101" spans="1:6" x14ac:dyDescent="0.2">
      <c r="A101" t="str">
        <f>$A$17</f>
        <v>Other non-metallic</v>
      </c>
      <c r="B101" s="17">
        <f t="shared" si="2"/>
        <v>0.13882915071461938</v>
      </c>
      <c r="C101" s="17">
        <f t="shared" si="2"/>
        <v>0.17652974723795084</v>
      </c>
      <c r="D101" s="17">
        <f t="shared" si="2"/>
        <v>0.17207203609339339</v>
      </c>
      <c r="E101" s="17">
        <f t="shared" si="2"/>
        <v>0.16683803829068142</v>
      </c>
      <c r="F101" s="17">
        <f t="shared" si="2"/>
        <v>0.14123051406353232</v>
      </c>
    </row>
    <row r="102" spans="1:6" x14ac:dyDescent="0.2">
      <c r="A102" t="str">
        <f>$A$18</f>
        <v>Basic metals</v>
      </c>
      <c r="B102" s="17">
        <f t="shared" si="2"/>
        <v>8.5951994639888701E-2</v>
      </c>
      <c r="C102" s="17">
        <f t="shared" si="2"/>
        <v>0.10168437534491964</v>
      </c>
      <c r="D102" s="17">
        <f t="shared" si="2"/>
        <v>9.1514605983936875E-2</v>
      </c>
      <c r="E102" s="17">
        <f t="shared" si="2"/>
        <v>8.2487237037601649E-2</v>
      </c>
      <c r="F102" s="17">
        <f t="shared" si="2"/>
        <v>6.8331371970330443E-2</v>
      </c>
    </row>
    <row r="103" spans="1:6" x14ac:dyDescent="0.2">
      <c r="A103" t="str">
        <f>$A$19</f>
        <v>Metal products</v>
      </c>
      <c r="B103" s="17">
        <f t="shared" si="2"/>
        <v>0.88631340467841979</v>
      </c>
      <c r="C103" s="17">
        <f t="shared" si="2"/>
        <v>0.9407492707059244</v>
      </c>
      <c r="D103" s="17">
        <f t="shared" si="2"/>
        <v>0.86739188834754999</v>
      </c>
      <c r="E103" s="17">
        <f t="shared" si="2"/>
        <v>0.78122573484829871</v>
      </c>
      <c r="F103" s="17">
        <f t="shared" si="2"/>
        <v>0.64596911262026024</v>
      </c>
    </row>
    <row r="104" spans="1:6" x14ac:dyDescent="0.2">
      <c r="A104" t="str">
        <f>$A$20</f>
        <v>Computer, etc</v>
      </c>
      <c r="B104" s="17">
        <f t="shared" si="2"/>
        <v>0.44871057812751503</v>
      </c>
      <c r="C104" s="17">
        <f t="shared" si="2"/>
        <v>0.45045638121654108</v>
      </c>
      <c r="D104" s="17">
        <f t="shared" si="2"/>
        <v>0.47327490188861526</v>
      </c>
      <c r="E104" s="17">
        <f t="shared" si="2"/>
        <v>0.44633997623719546</v>
      </c>
      <c r="F104" s="17">
        <f t="shared" si="2"/>
        <v>0.30678131769927608</v>
      </c>
    </row>
    <row r="105" spans="1:6" x14ac:dyDescent="0.2">
      <c r="A105" t="str">
        <f>$A$21</f>
        <v>Electrical equipment</v>
      </c>
      <c r="B105" s="17">
        <f t="shared" si="2"/>
        <v>0.43245706303834941</v>
      </c>
      <c r="C105" s="17">
        <f t="shared" si="2"/>
        <v>0.35971016577078269</v>
      </c>
      <c r="D105" s="17">
        <f t="shared" si="2"/>
        <v>0.33905803104685056</v>
      </c>
      <c r="E105" s="17">
        <f t="shared" si="2"/>
        <v>0.31118252957940218</v>
      </c>
      <c r="F105" s="17">
        <f t="shared" si="2"/>
        <v>0.2812264956604637</v>
      </c>
    </row>
    <row r="106" spans="1:6" x14ac:dyDescent="0.2">
      <c r="A106" t="str">
        <f>$A$22</f>
        <v>Machinery n.e.c.</v>
      </c>
      <c r="B106" s="17">
        <f t="shared" si="2"/>
        <v>0.66965901686676432</v>
      </c>
      <c r="C106" s="17">
        <f t="shared" si="2"/>
        <v>0.64852485072302501</v>
      </c>
      <c r="D106" s="17">
        <f t="shared" si="2"/>
        <v>0.62483210090760288</v>
      </c>
      <c r="E106" s="17">
        <f t="shared" si="2"/>
        <v>0.56802744997880716</v>
      </c>
      <c r="F106" s="17">
        <f t="shared" si="2"/>
        <v>0.45359809116887978</v>
      </c>
    </row>
    <row r="107" spans="1:6" x14ac:dyDescent="0.2">
      <c r="A107" t="str">
        <f>$A$23</f>
        <v>Motor vehicles, etc</v>
      </c>
      <c r="B107" s="17">
        <f t="shared" si="2"/>
        <v>0.31325278971371118</v>
      </c>
      <c r="C107" s="17">
        <f t="shared" si="2"/>
        <v>0.28604638522536041</v>
      </c>
      <c r="D107" s="17">
        <f t="shared" si="2"/>
        <v>0.27372458984962583</v>
      </c>
      <c r="E107" s="17">
        <f t="shared" si="2"/>
        <v>0.25710647327301711</v>
      </c>
      <c r="F107" s="17">
        <f t="shared" si="2"/>
        <v>0.2124939006400671</v>
      </c>
    </row>
    <row r="108" spans="1:6" x14ac:dyDescent="0.2">
      <c r="A108" t="str">
        <f>$A$24</f>
        <v>Other transport equipment</v>
      </c>
      <c r="B108" s="17">
        <f t="shared" si="2"/>
        <v>1.1872163619647511</v>
      </c>
      <c r="C108" s="17">
        <f t="shared" si="2"/>
        <v>1.1706869468250365</v>
      </c>
      <c r="D108" s="17">
        <f t="shared" si="2"/>
        <v>1.2119114400781386</v>
      </c>
      <c r="E108" s="17">
        <f t="shared" si="2"/>
        <v>1.0519983456846687</v>
      </c>
      <c r="F108" s="17">
        <f t="shared" si="2"/>
        <v>1.1190110901181807</v>
      </c>
    </row>
    <row r="109" spans="1:6" x14ac:dyDescent="0.2">
      <c r="A109" t="str">
        <f>$A$25</f>
        <v>Furniture</v>
      </c>
      <c r="B109" s="17">
        <f t="shared" ref="B109:F118" si="3">B25/B$81*100</f>
        <v>0.29678634647950164</v>
      </c>
      <c r="C109" s="17">
        <f t="shared" si="3"/>
        <v>0.21369923503834171</v>
      </c>
      <c r="D109" s="17">
        <f t="shared" si="3"/>
        <v>0.22371754107469766</v>
      </c>
      <c r="E109" s="17">
        <f t="shared" si="3"/>
        <v>0.1945299486236399</v>
      </c>
      <c r="F109" s="17">
        <f t="shared" si="3"/>
        <v>0.18656871886280924</v>
      </c>
    </row>
    <row r="110" spans="1:6" x14ac:dyDescent="0.2">
      <c r="A110" t="str">
        <f>$A$26</f>
        <v>Other manufacturing</v>
      </c>
      <c r="B110" s="17">
        <f t="shared" si="3"/>
        <v>0.27630975650876366</v>
      </c>
      <c r="C110" s="17">
        <f t="shared" si="3"/>
        <v>0.6010586383288542</v>
      </c>
      <c r="D110" s="17">
        <f t="shared" si="3"/>
        <v>0.63401428256090142</v>
      </c>
      <c r="E110" s="17">
        <f t="shared" si="3"/>
        <v>0.54863984333762461</v>
      </c>
      <c r="F110" s="17">
        <f t="shared" si="3"/>
        <v>0.52513924754756236</v>
      </c>
    </row>
    <row r="111" spans="1:6" x14ac:dyDescent="0.2">
      <c r="A111" t="str">
        <f>$A$27</f>
        <v>Repair and installation</v>
      </c>
      <c r="B111" s="17">
        <f t="shared" si="3"/>
        <v>0.35729342775994088</v>
      </c>
      <c r="C111" s="17">
        <f t="shared" si="3"/>
        <v>0.28418959882329792</v>
      </c>
      <c r="D111" s="17">
        <f t="shared" si="3"/>
        <v>0.3041042986612264</v>
      </c>
      <c r="E111" s="17">
        <f t="shared" si="3"/>
        <v>0.26531269463402907</v>
      </c>
      <c r="F111" s="17">
        <f t="shared" si="3"/>
        <v>0.25844937167032567</v>
      </c>
    </row>
    <row r="112" spans="1:6" x14ac:dyDescent="0.2">
      <c r="A112" t="str">
        <f>$A$28</f>
        <v>Electricity, gas, etc</v>
      </c>
      <c r="B112" s="17">
        <f t="shared" si="3"/>
        <v>0.24962276230144792</v>
      </c>
      <c r="C112" s="17">
        <f t="shared" si="3"/>
        <v>0.37527341179753432</v>
      </c>
      <c r="D112" s="17">
        <f t="shared" si="3"/>
        <v>0.52403290975735706</v>
      </c>
      <c r="E112" s="17">
        <f t="shared" si="3"/>
        <v>0.4738030278078762</v>
      </c>
      <c r="F112" s="17">
        <f t="shared" si="3"/>
        <v>0.43418506814185287</v>
      </c>
    </row>
    <row r="113" spans="1:6" x14ac:dyDescent="0.2">
      <c r="A113" t="str">
        <f>$A$29</f>
        <v>Water</v>
      </c>
      <c r="B113" s="17">
        <f t="shared" si="3"/>
        <v>0.15550852209375779</v>
      </c>
      <c r="C113" s="17">
        <f t="shared" si="3"/>
        <v>0.21184244863516546</v>
      </c>
      <c r="D113" s="17">
        <f t="shared" si="3"/>
        <v>0.20931278026563727</v>
      </c>
      <c r="E113" s="17">
        <f t="shared" si="3"/>
        <v>0.21231554392590682</v>
      </c>
      <c r="F113" s="17">
        <f t="shared" si="3"/>
        <v>0.21841965647280845</v>
      </c>
    </row>
    <row r="114" spans="1:6" x14ac:dyDescent="0.2">
      <c r="A114" t="str">
        <f>$A$30</f>
        <v>Sewerage</v>
      </c>
      <c r="B114" s="17">
        <f t="shared" si="3"/>
        <v>8.2935512582198959E-2</v>
      </c>
      <c r="C114" s="17">
        <f t="shared" si="3"/>
        <v>8.4061784399077966E-2</v>
      </c>
      <c r="D114" s="17">
        <f t="shared" si="3"/>
        <v>8.1888675776738737E-2</v>
      </c>
      <c r="E114" s="17">
        <f t="shared" si="3"/>
        <v>8.2650707583437497E-2</v>
      </c>
      <c r="F114" s="17">
        <f t="shared" si="3"/>
        <v>8.4164250842418048E-2</v>
      </c>
    </row>
    <row r="115" spans="1:6" x14ac:dyDescent="0.2">
      <c r="A115" t="str">
        <f>$A$31</f>
        <v>Waste management</v>
      </c>
      <c r="B115" s="17">
        <f t="shared" si="3"/>
        <v>0.47500720406879532</v>
      </c>
      <c r="C115" s="17">
        <f t="shared" si="3"/>
        <v>0.48566780335755128</v>
      </c>
      <c r="D115" s="17">
        <f t="shared" si="3"/>
        <v>0.43975481868537114</v>
      </c>
      <c r="E115" s="17">
        <f t="shared" si="3"/>
        <v>0.44640536445494694</v>
      </c>
      <c r="F115" s="17">
        <f t="shared" si="3"/>
        <v>0.46029542979736648</v>
      </c>
    </row>
    <row r="116" spans="1:6" x14ac:dyDescent="0.2">
      <c r="A116" t="str">
        <f>$A$32</f>
        <v>Construction</v>
      </c>
      <c r="B116" s="17">
        <f t="shared" si="3"/>
        <v>1.9087943582292155</v>
      </c>
      <c r="C116" s="17">
        <f t="shared" si="3"/>
        <v>2.7574628465761095</v>
      </c>
      <c r="D116" s="17">
        <f t="shared" si="3"/>
        <v>2.806402404152176</v>
      </c>
      <c r="E116" s="17">
        <f t="shared" si="3"/>
        <v>2.9143201831551995</v>
      </c>
      <c r="F116" s="17">
        <f t="shared" si="3"/>
        <v>3.0485236071603792</v>
      </c>
    </row>
    <row r="117" spans="1:6" x14ac:dyDescent="0.2">
      <c r="A117" t="str">
        <f>$A$33</f>
        <v>Civil engineering</v>
      </c>
      <c r="B117" s="17">
        <f t="shared" si="3"/>
        <v>0.69006463077881608</v>
      </c>
      <c r="C117" s="17">
        <f t="shared" si="3"/>
        <v>0.77475256634135203</v>
      </c>
      <c r="D117" s="17">
        <f t="shared" si="3"/>
        <v>0.7578883986010716</v>
      </c>
      <c r="E117" s="17">
        <f t="shared" si="3"/>
        <v>0.78835305058402116</v>
      </c>
      <c r="F117" s="17">
        <f t="shared" si="3"/>
        <v>0.82451337043843809</v>
      </c>
    </row>
    <row r="118" spans="1:6" x14ac:dyDescent="0.2">
      <c r="A118" t="str">
        <f>$A$34</f>
        <v>Specialised construction</v>
      </c>
      <c r="B118" s="17">
        <f t="shared" si="3"/>
        <v>4.3760637534570144</v>
      </c>
      <c r="C118" s="17">
        <f t="shared" si="3"/>
        <v>4.1690256294392052</v>
      </c>
      <c r="D118" s="17">
        <f t="shared" si="3"/>
        <v>4.1001683854941424</v>
      </c>
      <c r="E118" s="17">
        <f t="shared" si="3"/>
        <v>4.2604674275646808</v>
      </c>
      <c r="F118" s="17">
        <f t="shared" si="3"/>
        <v>4.4510142146547427</v>
      </c>
    </row>
    <row r="119" spans="1:6" x14ac:dyDescent="0.2">
      <c r="A119" t="str">
        <f>$A$35</f>
        <v>Motor vehicle trade</v>
      </c>
      <c r="B119" s="17">
        <f t="shared" ref="B119:F128" si="4">B35/B$81*100</f>
        <v>2.336850906301311</v>
      </c>
      <c r="C119" s="17">
        <f t="shared" si="4"/>
        <v>2.0139718113003324</v>
      </c>
      <c r="D119" s="17">
        <f t="shared" si="4"/>
        <v>1.9700387802331405</v>
      </c>
      <c r="E119" s="17">
        <f t="shared" si="4"/>
        <v>1.9202884928496471</v>
      </c>
      <c r="F119" s="17">
        <f t="shared" si="4"/>
        <v>1.8564590584465246</v>
      </c>
    </row>
    <row r="120" spans="1:6" x14ac:dyDescent="0.2">
      <c r="A120" t="str">
        <f>$A$36</f>
        <v>Wholesale trade</v>
      </c>
      <c r="B120" s="17">
        <f t="shared" si="4"/>
        <v>3.3166042787232399</v>
      </c>
      <c r="C120" s="17">
        <f t="shared" si="4"/>
        <v>3.0519154102321622</v>
      </c>
      <c r="D120" s="17">
        <f t="shared" si="4"/>
        <v>3.1094826677245408</v>
      </c>
      <c r="E120" s="17">
        <f t="shared" si="4"/>
        <v>2.976994790267673</v>
      </c>
      <c r="F120" s="17">
        <f t="shared" si="4"/>
        <v>2.7756302056901347</v>
      </c>
    </row>
    <row r="121" spans="1:6" x14ac:dyDescent="0.2">
      <c r="A121" t="str">
        <f>$A$37</f>
        <v>Retail trade</v>
      </c>
      <c r="B121" s="17">
        <f t="shared" si="4"/>
        <v>9.4960274706772161</v>
      </c>
      <c r="C121" s="17">
        <f t="shared" si="4"/>
        <v>9.3233296436152511</v>
      </c>
      <c r="D121" s="17">
        <f t="shared" si="4"/>
        <v>9.7638336054351349</v>
      </c>
      <c r="E121" s="17">
        <f t="shared" si="4"/>
        <v>9.3805610640581829</v>
      </c>
      <c r="F121" s="17">
        <f t="shared" si="4"/>
        <v>8.9324287914097038</v>
      </c>
    </row>
    <row r="122" spans="1:6" x14ac:dyDescent="0.2">
      <c r="A122" t="str">
        <f>$A$38</f>
        <v>Land transport, etc</v>
      </c>
      <c r="B122" s="17">
        <f t="shared" si="4"/>
        <v>1.7619094260510024</v>
      </c>
      <c r="C122" s="17">
        <f t="shared" si="4"/>
        <v>1.7110455496602548</v>
      </c>
      <c r="D122" s="17">
        <f t="shared" si="4"/>
        <v>1.6433033052360102</v>
      </c>
      <c r="E122" s="17">
        <f t="shared" si="4"/>
        <v>1.5821987115731198</v>
      </c>
      <c r="F122" s="17">
        <f t="shared" si="4"/>
        <v>1.4686615477119076</v>
      </c>
    </row>
    <row r="123" spans="1:6" x14ac:dyDescent="0.2">
      <c r="A123" t="str">
        <f>$A$39</f>
        <v>Water transport</v>
      </c>
      <c r="B123" s="17">
        <f t="shared" si="4"/>
        <v>4.2869533247219281E-2</v>
      </c>
      <c r="C123" s="17">
        <f t="shared" si="4"/>
        <v>2.1369923503862041E-2</v>
      </c>
      <c r="D123" s="17">
        <f t="shared" si="4"/>
        <v>2.2187427784327467E-2</v>
      </c>
      <c r="E123" s="17">
        <f t="shared" si="4"/>
        <v>1.7229795449616739E-2</v>
      </c>
      <c r="F123" s="17">
        <f t="shared" si="4"/>
        <v>1.4320576600723936E-2</v>
      </c>
    </row>
    <row r="124" spans="1:6" x14ac:dyDescent="0.2">
      <c r="A124" t="str">
        <f>$A$40</f>
        <v>Air transport</v>
      </c>
      <c r="B124" s="17">
        <f t="shared" si="4"/>
        <v>7.2714961608895123E-2</v>
      </c>
      <c r="C124" s="17">
        <f t="shared" si="4"/>
        <v>8.909198756182557E-2</v>
      </c>
      <c r="D124" s="17">
        <f t="shared" si="4"/>
        <v>8.8647307624356145E-2</v>
      </c>
      <c r="E124" s="17">
        <f t="shared" si="4"/>
        <v>0.10596160730962931</v>
      </c>
      <c r="F124" s="17">
        <f t="shared" si="4"/>
        <v>0.11123137514849521</v>
      </c>
    </row>
    <row r="125" spans="1:6" x14ac:dyDescent="0.2">
      <c r="A125" t="str">
        <f>$A$41</f>
        <v>Warehousing, etc</v>
      </c>
      <c r="B125" s="17">
        <f t="shared" si="4"/>
        <v>1.1001642385797066</v>
      </c>
      <c r="C125" s="17">
        <f t="shared" si="4"/>
        <v>1.1508024524497229</v>
      </c>
      <c r="D125" s="17">
        <f t="shared" si="4"/>
        <v>1.1517323090366658</v>
      </c>
      <c r="E125" s="17">
        <f t="shared" si="4"/>
        <v>1.1476940027768092</v>
      </c>
      <c r="F125" s="17">
        <f t="shared" si="4"/>
        <v>1.0850614473189144</v>
      </c>
    </row>
    <row r="126" spans="1:6" x14ac:dyDescent="0.2">
      <c r="A126" t="str">
        <f>$A$42</f>
        <v>Postal and courier</v>
      </c>
      <c r="B126" s="17">
        <f t="shared" si="4"/>
        <v>1.029826974590712</v>
      </c>
      <c r="C126" s="17">
        <f t="shared" si="4"/>
        <v>0.79416442418312405</v>
      </c>
      <c r="D126" s="17">
        <f t="shared" si="4"/>
        <v>0.84930060108654604</v>
      </c>
      <c r="E126" s="17">
        <f t="shared" si="4"/>
        <v>0.85511442123518877</v>
      </c>
      <c r="F126" s="17">
        <f t="shared" si="4"/>
        <v>0.82519236330967083</v>
      </c>
    </row>
    <row r="127" spans="1:6" x14ac:dyDescent="0.2">
      <c r="A127" t="str">
        <f>$A$43</f>
        <v>Accommodation</v>
      </c>
      <c r="B127" s="17">
        <f t="shared" si="4"/>
        <v>2.2965365107940681</v>
      </c>
      <c r="C127" s="17">
        <f t="shared" si="4"/>
        <v>2.4920436703026976</v>
      </c>
      <c r="D127" s="17">
        <f t="shared" si="4"/>
        <v>2.3420707424227438</v>
      </c>
      <c r="E127" s="17">
        <f t="shared" si="4"/>
        <v>2.6356029039808733</v>
      </c>
      <c r="F127" s="17">
        <f t="shared" si="4"/>
        <v>2.6716825720595319</v>
      </c>
    </row>
    <row r="128" spans="1:6" x14ac:dyDescent="0.2">
      <c r="A128" t="str">
        <f>$A$44</f>
        <v>Food and beverage services</v>
      </c>
      <c r="B128" s="17">
        <f t="shared" si="4"/>
        <v>5.3916600304321562</v>
      </c>
      <c r="C128" s="17">
        <f t="shared" si="4"/>
        <v>6.3023044070770293</v>
      </c>
      <c r="D128" s="17">
        <f t="shared" si="4"/>
        <v>6.236851815725811</v>
      </c>
      <c r="E128" s="17">
        <f t="shared" si="4"/>
        <v>6.1892236949467705</v>
      </c>
      <c r="F128" s="17">
        <f t="shared" si="4"/>
        <v>6.784866977549231</v>
      </c>
    </row>
    <row r="129" spans="1:6" x14ac:dyDescent="0.2">
      <c r="A129" t="str">
        <f>$A$45</f>
        <v>Publishing activities</v>
      </c>
      <c r="B129" s="17">
        <f t="shared" ref="B129:F129" si="5">B45/B$81*100</f>
        <v>0.29146314284945296</v>
      </c>
      <c r="C129" s="17">
        <f t="shared" si="5"/>
        <v>0.39046530054231626</v>
      </c>
      <c r="D129" s="17">
        <f t="shared" si="5"/>
        <v>0.38158962337927005</v>
      </c>
      <c r="E129" s="17">
        <f t="shared" si="5"/>
        <v>0.35361948307197805</v>
      </c>
      <c r="F129" s="17">
        <f t="shared" si="5"/>
        <v>0.32452772188928714</v>
      </c>
    </row>
    <row r="130" spans="1:6" x14ac:dyDescent="0.2">
      <c r="A130" t="str">
        <f>$A$46</f>
        <v>Film and music</v>
      </c>
      <c r="B130" s="17">
        <f t="shared" ref="B130:B154" si="6">B46/B$81*100</f>
        <v>0.26608920553929966</v>
      </c>
      <c r="C130" s="17">
        <f t="shared" ref="C130:F130" si="7">C46/C$81*100</f>
        <v>0.34384308196702634</v>
      </c>
      <c r="D130" s="17">
        <f t="shared" si="7"/>
        <v>0.29669711123048537</v>
      </c>
      <c r="E130" s="17">
        <f t="shared" si="7"/>
        <v>0.27567672719024172</v>
      </c>
      <c r="F130" s="17">
        <f t="shared" si="7"/>
        <v>0.25514699732645724</v>
      </c>
    </row>
    <row r="131" spans="1:6" x14ac:dyDescent="0.2">
      <c r="A131" t="str">
        <f>$A$47</f>
        <v>Broadcasting</v>
      </c>
      <c r="B131" s="17">
        <f t="shared" si="6"/>
        <v>1.2349832425664758E-2</v>
      </c>
      <c r="C131" s="17">
        <f t="shared" ref="C131:F131" si="8">C47/C$81*100</f>
        <v>5.6243748115573519E-2</v>
      </c>
      <c r="D131" s="17">
        <f t="shared" si="8"/>
        <v>5.5878183511366447E-2</v>
      </c>
      <c r="E131" s="17">
        <f t="shared" si="8"/>
        <v>5.1656692238876971E-2</v>
      </c>
      <c r="F131" s="17">
        <f t="shared" si="8"/>
        <v>4.7282593431850616E-2</v>
      </c>
    </row>
    <row r="132" spans="1:6" x14ac:dyDescent="0.2">
      <c r="A132" t="str">
        <f>$A$48</f>
        <v>Telecommunications</v>
      </c>
      <c r="B132" s="17">
        <f t="shared" si="6"/>
        <v>0.6683459599694892</v>
      </c>
      <c r="C132" s="17">
        <f t="shared" ref="C132:F132" si="9">C48/C$81*100</f>
        <v>0.47253525952538278</v>
      </c>
      <c r="D132" s="17">
        <f t="shared" si="9"/>
        <v>0.45279419931188714</v>
      </c>
      <c r="E132" s="17">
        <f t="shared" si="9"/>
        <v>0.45673670289585916</v>
      </c>
      <c r="F132" s="17">
        <f t="shared" si="9"/>
        <v>0.45449312719712037</v>
      </c>
    </row>
    <row r="133" spans="1:6" x14ac:dyDescent="0.2">
      <c r="A133" t="str">
        <f>$A$49</f>
        <v>Computing services</v>
      </c>
      <c r="B133" s="17">
        <f t="shared" si="6"/>
        <v>1.5542689963781746</v>
      </c>
      <c r="C133" s="17">
        <f t="shared" ref="C133:F133" si="10">C49/C$81*100</f>
        <v>1.6464631425999334</v>
      </c>
      <c r="D133" s="17">
        <f t="shared" si="10"/>
        <v>1.6240855792673856</v>
      </c>
      <c r="E133" s="17">
        <f t="shared" si="10"/>
        <v>1.6435001659085755</v>
      </c>
      <c r="F133" s="17">
        <f t="shared" si="10"/>
        <v>1.6390270279056915</v>
      </c>
    </row>
    <row r="134" spans="1:6" x14ac:dyDescent="0.2">
      <c r="A134" t="str">
        <f>$A$50</f>
        <v>Information services</v>
      </c>
      <c r="B134" s="17">
        <f t="shared" si="6"/>
        <v>0.45953442551207718</v>
      </c>
      <c r="C134" s="17">
        <f t="shared" ref="C134:F134" si="11">C50/C$81*100</f>
        <v>0.21987726979334038</v>
      </c>
      <c r="D134" s="17">
        <f t="shared" si="11"/>
        <v>0.2127603651968869</v>
      </c>
      <c r="E134" s="17">
        <f t="shared" si="11"/>
        <v>0.21702349562291529</v>
      </c>
      <c r="F134" s="17">
        <f t="shared" si="11"/>
        <v>0.2193146925098316</v>
      </c>
    </row>
    <row r="135" spans="1:6" x14ac:dyDescent="0.2">
      <c r="A135" t="str">
        <f>$A$51</f>
        <v>Financial services</v>
      </c>
      <c r="B135" s="17">
        <f t="shared" si="6"/>
        <v>1.4898582324342671</v>
      </c>
      <c r="C135" s="17">
        <f t="shared" ref="C135:F135" si="12">C51/C$81*100</f>
        <v>1.1991801781543414</v>
      </c>
      <c r="D135" s="17">
        <f t="shared" si="12"/>
        <v>1.3509754105126588</v>
      </c>
      <c r="E135" s="17">
        <f t="shared" si="12"/>
        <v>1.2908942002324979</v>
      </c>
      <c r="F135" s="17">
        <f t="shared" si="12"/>
        <v>1.1700898708712495</v>
      </c>
    </row>
    <row r="136" spans="1:6" x14ac:dyDescent="0.2">
      <c r="A136" t="str">
        <f>$A$52</f>
        <v>Insurance and pensions</v>
      </c>
      <c r="B136" s="17">
        <f t="shared" si="6"/>
        <v>0.31974709814313007</v>
      </c>
      <c r="C136" s="17">
        <f t="shared" ref="C136:F136" si="13">C52/C$81*100</f>
        <v>0.32517393868353589</v>
      </c>
      <c r="D136" s="17">
        <f t="shared" si="13"/>
        <v>0.36643390347814275</v>
      </c>
      <c r="E136" s="17">
        <f t="shared" si="13"/>
        <v>0.34995774286422532</v>
      </c>
      <c r="F136" s="17">
        <f t="shared" si="13"/>
        <v>0.31641067092715114</v>
      </c>
    </row>
    <row r="137" spans="1:6" x14ac:dyDescent="0.2">
      <c r="A137" t="str">
        <f>$A$53</f>
        <v>Auxiliary financial services</v>
      </c>
      <c r="B137" s="17">
        <f t="shared" si="6"/>
        <v>1.2878958866477557</v>
      </c>
      <c r="C137" s="17">
        <f t="shared" ref="C137:F137" si="14">C53/C$81*100</f>
        <v>1.0868614806850849</v>
      </c>
      <c r="D137" s="17">
        <f t="shared" si="14"/>
        <v>1.2272719669891077</v>
      </c>
      <c r="E137" s="17">
        <f t="shared" si="14"/>
        <v>1.1780341359212168</v>
      </c>
      <c r="F137" s="17">
        <f t="shared" si="14"/>
        <v>1.0705248275238977</v>
      </c>
    </row>
    <row r="138" spans="1:6" x14ac:dyDescent="0.2">
      <c r="A138" t="str">
        <f>$A$54</f>
        <v>Real estate</v>
      </c>
      <c r="B138" s="17">
        <f t="shared" si="6"/>
        <v>1.8173772078850861</v>
      </c>
      <c r="C138" s="17">
        <f t="shared" ref="C138:F138" si="15">C54/C$81*100</f>
        <v>1.8754893054196593</v>
      </c>
      <c r="D138" s="17">
        <f t="shared" si="15"/>
        <v>1.9669666748167891</v>
      </c>
      <c r="E138" s="17">
        <f t="shared" si="15"/>
        <v>1.6929663528736494</v>
      </c>
      <c r="F138" s="17">
        <f t="shared" si="15"/>
        <v>1.6086883925814657</v>
      </c>
    </row>
    <row r="139" spans="1:6" x14ac:dyDescent="0.2">
      <c r="A139" t="str">
        <f>$A$55</f>
        <v>Legal and accounting</v>
      </c>
      <c r="B139" s="17">
        <f t="shared" si="6"/>
        <v>2.1579557762496893</v>
      </c>
      <c r="C139" s="17">
        <f t="shared" ref="C139:F139" si="16">C55/C$81*100</f>
        <v>2.6176637102809801</v>
      </c>
      <c r="D139" s="17">
        <f t="shared" si="16"/>
        <v>2.62873230931929</v>
      </c>
      <c r="E139" s="17">
        <f t="shared" si="16"/>
        <v>2.60647245274279</v>
      </c>
      <c r="F139" s="17">
        <f t="shared" si="16"/>
        <v>2.5431677424149588</v>
      </c>
    </row>
    <row r="140" spans="1:6" x14ac:dyDescent="0.2">
      <c r="A140" t="str">
        <f>$A$56</f>
        <v>Head offices, etc</v>
      </c>
      <c r="B140" s="17">
        <f t="shared" si="6"/>
        <v>1.866599097466799</v>
      </c>
      <c r="C140" s="17">
        <f t="shared" ref="C140:F140" si="17">C56/C$81*100</f>
        <v>2.254678848502591</v>
      </c>
      <c r="D140" s="17">
        <f t="shared" si="17"/>
        <v>2.2614791777402483</v>
      </c>
      <c r="E140" s="17">
        <f t="shared" si="17"/>
        <v>2.201784771394153</v>
      </c>
      <c r="F140" s="17">
        <f t="shared" si="17"/>
        <v>2.1190132505390422</v>
      </c>
    </row>
    <row r="141" spans="1:6" x14ac:dyDescent="0.2">
      <c r="A141" t="str">
        <f>$A$57</f>
        <v>Architectural and related</v>
      </c>
      <c r="B141" s="17">
        <f t="shared" si="6"/>
        <v>2.3595632417789347</v>
      </c>
      <c r="C141" s="17">
        <f t="shared" ref="C141:F141" si="18">C57/C$81*100</f>
        <v>2.0764948733837771</v>
      </c>
      <c r="D141" s="17">
        <f t="shared" si="18"/>
        <v>1.9765584704881793</v>
      </c>
      <c r="E141" s="17">
        <f t="shared" si="18"/>
        <v>1.8817748323897023</v>
      </c>
      <c r="F141" s="17">
        <f t="shared" si="18"/>
        <v>1.8625082674923434</v>
      </c>
    </row>
    <row r="142" spans="1:6" x14ac:dyDescent="0.2">
      <c r="A142" t="str">
        <f>$A$58</f>
        <v>Scientific research and development</v>
      </c>
      <c r="B142" s="17">
        <f t="shared" si="6"/>
        <v>0.40342785923705882</v>
      </c>
      <c r="C142" s="17">
        <f t="shared" ref="C142:F142" si="19">C58/C$81*100</f>
        <v>0.43300258903030775</v>
      </c>
      <c r="D142" s="17">
        <f t="shared" si="19"/>
        <v>0.38660739550717349</v>
      </c>
      <c r="E142" s="17">
        <f t="shared" si="19"/>
        <v>0.44244937724978556</v>
      </c>
      <c r="F142" s="17">
        <f t="shared" si="19"/>
        <v>0.50446082874765974</v>
      </c>
    </row>
    <row r="143" spans="1:6" x14ac:dyDescent="0.2">
      <c r="A143" t="str">
        <f>$A$59</f>
        <v>Advertising, etc</v>
      </c>
      <c r="B143" s="17">
        <f t="shared" si="6"/>
        <v>0.39608183822427023</v>
      </c>
      <c r="C143" s="17">
        <f t="shared" ref="C143:F143" si="20">C59/C$81*100</f>
        <v>0.43256371224388779</v>
      </c>
      <c r="D143" s="17">
        <f t="shared" si="20"/>
        <v>0.43941347363312572</v>
      </c>
      <c r="E143" s="17">
        <f t="shared" si="20"/>
        <v>0.50420854917886371</v>
      </c>
      <c r="F143" s="17">
        <f t="shared" si="20"/>
        <v>0.58069320850052342</v>
      </c>
    </row>
    <row r="144" spans="1:6" x14ac:dyDescent="0.2">
      <c r="A144" t="str">
        <f>$A$60</f>
        <v>Other professional</v>
      </c>
      <c r="B144" s="17">
        <f t="shared" si="6"/>
        <v>0.71149939741570623</v>
      </c>
      <c r="C144" s="17">
        <f t="shared" ref="C144:F144" si="21">C60/C$81*100</f>
        <v>0.67377714578861103</v>
      </c>
      <c r="D144" s="17">
        <f t="shared" si="21"/>
        <v>0.65801083906318503</v>
      </c>
      <c r="E144" s="17">
        <f t="shared" si="21"/>
        <v>0.75418770668807356</v>
      </c>
      <c r="F144" s="17">
        <f t="shared" si="21"/>
        <v>0.8633394164959991</v>
      </c>
    </row>
    <row r="145" spans="1:6" x14ac:dyDescent="0.2">
      <c r="A145" t="str">
        <f>$A$61</f>
        <v>Veterinary</v>
      </c>
      <c r="B145" s="17">
        <f t="shared" si="6"/>
        <v>0.45492098235599659</v>
      </c>
      <c r="C145" s="17">
        <f t="shared" ref="C145:F145" si="22">C61/C$81*100</f>
        <v>0.37733275670691974</v>
      </c>
      <c r="D145" s="17">
        <f t="shared" si="22"/>
        <v>0.41179865967929596</v>
      </c>
      <c r="E145" s="17">
        <f t="shared" si="22"/>
        <v>0.47429343943051971</v>
      </c>
      <c r="F145" s="17">
        <f t="shared" si="22"/>
        <v>0.55100270269914819</v>
      </c>
    </row>
    <row r="146" spans="1:6" x14ac:dyDescent="0.2">
      <c r="A146" t="str">
        <f>$A$62</f>
        <v>Rental and leasing</v>
      </c>
      <c r="B146" s="17">
        <f t="shared" si="6"/>
        <v>0.47692355737700698</v>
      </c>
      <c r="C146" s="17">
        <f t="shared" ref="C146:F146" si="23">C62/C$81*100</f>
        <v>0.47516852024617107</v>
      </c>
      <c r="D146" s="17">
        <f t="shared" si="23"/>
        <v>0.47791719447315434</v>
      </c>
      <c r="E146" s="17">
        <f t="shared" si="23"/>
        <v>0.50780490118124799</v>
      </c>
      <c r="F146" s="17">
        <f t="shared" si="23"/>
        <v>0.52683672968860595</v>
      </c>
    </row>
    <row r="147" spans="1:6" x14ac:dyDescent="0.2">
      <c r="A147" t="str">
        <f>$A$63</f>
        <v>Employment activities</v>
      </c>
      <c r="B147" s="17">
        <f t="shared" si="6"/>
        <v>2.2481308457729976</v>
      </c>
      <c r="C147" s="17">
        <f t="shared" ref="C147:F147" si="24">C63/C$81*100</f>
        <v>2.3291191034094094</v>
      </c>
      <c r="D147" s="17">
        <f t="shared" si="24"/>
        <v>2.2985833839486038</v>
      </c>
      <c r="E147" s="17">
        <f t="shared" si="24"/>
        <v>2.4384247324712285</v>
      </c>
      <c r="F147" s="17">
        <f t="shared" si="24"/>
        <v>2.5233226330375191</v>
      </c>
    </row>
    <row r="148" spans="1:6" x14ac:dyDescent="0.2">
      <c r="A148" t="str">
        <f>$A$64</f>
        <v>Travel, etc</v>
      </c>
      <c r="B148" s="17">
        <f t="shared" si="6"/>
        <v>0.25565572641911377</v>
      </c>
      <c r="C148" s="17">
        <f t="shared" ref="C148:F148" si="25">C64/C$81*100</f>
        <v>0.16555782758810442</v>
      </c>
      <c r="D148" s="17">
        <f t="shared" si="25"/>
        <v>0.16422110010753971</v>
      </c>
      <c r="E148" s="17">
        <f t="shared" si="25"/>
        <v>0.17429229514647282</v>
      </c>
      <c r="F148" s="17">
        <f t="shared" si="25"/>
        <v>0.18058123640291465</v>
      </c>
    </row>
    <row r="149" spans="1:6" x14ac:dyDescent="0.2">
      <c r="A149" t="str">
        <f>$A$65</f>
        <v>Security, etc</v>
      </c>
      <c r="B149" s="17">
        <f t="shared" si="6"/>
        <v>0.47262950644868468</v>
      </c>
      <c r="C149" s="17">
        <f t="shared" ref="C149:F149" si="26">C65/C$81*100</f>
        <v>0.50842187672815153</v>
      </c>
      <c r="D149" s="17">
        <f t="shared" si="26"/>
        <v>0.50570268096162296</v>
      </c>
      <c r="E149" s="17">
        <f t="shared" si="26"/>
        <v>0.53693535231123624</v>
      </c>
      <c r="F149" s="17">
        <f t="shared" si="26"/>
        <v>0.55628032899470814</v>
      </c>
    </row>
    <row r="150" spans="1:6" x14ac:dyDescent="0.2">
      <c r="A150" t="str">
        <f>$A$66</f>
        <v>Services to buildings</v>
      </c>
      <c r="B150" s="17">
        <f t="shared" si="6"/>
        <v>1.9989339397536003</v>
      </c>
      <c r="C150" s="17">
        <f t="shared" ref="C150:F150" si="27">C66/C$81*100</f>
        <v>2.0879731893679629</v>
      </c>
      <c r="D150" s="17">
        <f t="shared" si="27"/>
        <v>1.9816786461773563</v>
      </c>
      <c r="E150" s="17">
        <f t="shared" si="27"/>
        <v>2.0942211527847836</v>
      </c>
      <c r="F150" s="17">
        <f t="shared" si="27"/>
        <v>2.1517900875110749</v>
      </c>
    </row>
    <row r="151" spans="1:6" x14ac:dyDescent="0.2">
      <c r="A151" t="str">
        <f>$A$67</f>
        <v>Office administrative</v>
      </c>
      <c r="B151" s="17">
        <f t="shared" si="6"/>
        <v>1.6655594403179901</v>
      </c>
      <c r="C151" s="17">
        <f t="shared" ref="C151:F151" si="28">C67/C$81*100</f>
        <v>1.3246314194677071</v>
      </c>
      <c r="D151" s="17">
        <f t="shared" si="28"/>
        <v>1.3145538944634216</v>
      </c>
      <c r="E151" s="17">
        <f t="shared" si="28"/>
        <v>1.3943383611594977</v>
      </c>
      <c r="F151" s="17">
        <f t="shared" si="28"/>
        <v>1.4439091717518342</v>
      </c>
    </row>
    <row r="152" spans="1:6" x14ac:dyDescent="0.2">
      <c r="A152" t="str">
        <f>$A$68</f>
        <v>Public administration and defence</v>
      </c>
      <c r="B152" s="17">
        <f t="shared" si="6"/>
        <v>3.5527415918205087</v>
      </c>
      <c r="C152" s="17">
        <f t="shared" ref="C152:F152" si="29">C68/C$81*100</f>
        <v>3.4679030838237686</v>
      </c>
      <c r="D152" s="17">
        <f t="shared" si="29"/>
        <v>3.7171109784099947</v>
      </c>
      <c r="E152" s="17">
        <f t="shared" si="29"/>
        <v>3.7515509267512783</v>
      </c>
      <c r="F152" s="17">
        <f t="shared" si="29"/>
        <v>3.6134456634387719</v>
      </c>
    </row>
    <row r="153" spans="1:6" x14ac:dyDescent="0.2">
      <c r="A153" t="str">
        <f>$A$69</f>
        <v xml:space="preserve">Education </v>
      </c>
      <c r="B153" s="17">
        <f t="shared" si="6"/>
        <v>8.5413996193451958</v>
      </c>
      <c r="C153" s="17">
        <f t="shared" ref="C153:F153" si="30">C69/C$81*100</f>
        <v>8.5021911765773766</v>
      </c>
      <c r="D153" s="17">
        <f t="shared" si="30"/>
        <v>8.2566587029555016</v>
      </c>
      <c r="E153" s="17">
        <f t="shared" si="30"/>
        <v>8.0743333255194401</v>
      </c>
      <c r="F153" s="17">
        <f t="shared" si="30"/>
        <v>8.0578242662065858</v>
      </c>
    </row>
    <row r="154" spans="1:6" x14ac:dyDescent="0.2">
      <c r="A154" t="str">
        <f>$A$70</f>
        <v>Health</v>
      </c>
      <c r="B154" s="17">
        <f t="shared" si="6"/>
        <v>7.6490887384410771</v>
      </c>
      <c r="C154" s="17">
        <f t="shared" ref="C154:F154" si="31">C70/C$81*100</f>
        <v>7.7406724334034465</v>
      </c>
      <c r="D154" s="17">
        <f t="shared" si="31"/>
        <v>7.7223854419988855</v>
      </c>
      <c r="E154" s="17">
        <f t="shared" si="31"/>
        <v>8.2819409183762804</v>
      </c>
      <c r="F154" s="17">
        <f t="shared" si="31"/>
        <v>9.2022049984108438</v>
      </c>
    </row>
    <row r="155" spans="1:6" x14ac:dyDescent="0.2">
      <c r="A155" t="str">
        <f>$A$71</f>
        <v>Residential care</v>
      </c>
      <c r="B155" s="17">
        <f t="shared" ref="B155:F155" si="32">B71/B$81*100</f>
        <v>3.0232957585778228</v>
      </c>
      <c r="C155" s="17">
        <f t="shared" si="32"/>
        <v>2.6562173479493163</v>
      </c>
      <c r="D155" s="17">
        <f t="shared" si="32"/>
        <v>2.4829438415613039</v>
      </c>
      <c r="E155" s="17">
        <f t="shared" si="32"/>
        <v>2.5246717919812602</v>
      </c>
      <c r="F155" s="17">
        <f t="shared" si="32"/>
        <v>2.5336001157907053</v>
      </c>
    </row>
    <row r="156" spans="1:6" x14ac:dyDescent="0.2">
      <c r="A156" t="str">
        <f>$A$72</f>
        <v>Social work</v>
      </c>
      <c r="B156" s="17">
        <f t="shared" ref="B156:F156" si="33">B72/B$81*100</f>
        <v>3.2809743023735303</v>
      </c>
      <c r="C156" s="17">
        <f t="shared" si="33"/>
        <v>2.7965228804620419</v>
      </c>
      <c r="D156" s="17">
        <f t="shared" si="33"/>
        <v>2.6080126652528999</v>
      </c>
      <c r="E156" s="17">
        <f t="shared" si="33"/>
        <v>2.6343278336026188</v>
      </c>
      <c r="F156" s="17">
        <f t="shared" si="33"/>
        <v>2.608227603336164</v>
      </c>
    </row>
    <row r="157" spans="1:6" x14ac:dyDescent="0.2">
      <c r="A157" t="str">
        <f>$A$73</f>
        <v>Arts and entertainment</v>
      </c>
      <c r="B157" s="17">
        <f t="shared" ref="B157:F157" si="34">B73/B$81*100</f>
        <v>0.41659391622363162</v>
      </c>
      <c r="C157" s="17">
        <f t="shared" si="34"/>
        <v>0.47743042368051886</v>
      </c>
      <c r="D157" s="17">
        <f t="shared" si="34"/>
        <v>0.44279278956105711</v>
      </c>
      <c r="E157" s="17">
        <f t="shared" si="34"/>
        <v>0.48282660189108106</v>
      </c>
      <c r="F157" s="17">
        <f t="shared" si="34"/>
        <v>0.50088068460537605</v>
      </c>
    </row>
    <row r="158" spans="1:6" x14ac:dyDescent="0.2">
      <c r="A158" t="str">
        <f>$A$74</f>
        <v>Libraries, etc</v>
      </c>
      <c r="B158" s="17">
        <f t="shared" ref="B158:F158" si="35">B74/B$81*100</f>
        <v>0.68516728345980971</v>
      </c>
      <c r="C158" s="17">
        <f t="shared" si="35"/>
        <v>0.54619904007478415</v>
      </c>
      <c r="D158" s="17">
        <f t="shared" si="35"/>
        <v>0.50218682701471196</v>
      </c>
      <c r="E158" s="17">
        <f t="shared" si="35"/>
        <v>0.54808404348084772</v>
      </c>
      <c r="F158" s="17">
        <f t="shared" si="35"/>
        <v>0.56859479034380456</v>
      </c>
    </row>
    <row r="159" spans="1:6" x14ac:dyDescent="0.2">
      <c r="A159" t="str">
        <f>$A$75</f>
        <v>Gambling and betting</v>
      </c>
      <c r="B159" s="17">
        <f t="shared" ref="B159:F159" si="36">B75/B$81*100</f>
        <v>0.19770378288336521</v>
      </c>
      <c r="C159" s="17">
        <f t="shared" si="36"/>
        <v>0.18220138570275374</v>
      </c>
      <c r="D159" s="17">
        <f t="shared" si="36"/>
        <v>0.1663715738771594</v>
      </c>
      <c r="E159" s="17">
        <f t="shared" si="36"/>
        <v>0.18907003241793074</v>
      </c>
      <c r="F159" s="17">
        <f t="shared" si="36"/>
        <v>0.21082728181200366</v>
      </c>
    </row>
    <row r="160" spans="1:6" x14ac:dyDescent="0.2">
      <c r="A160" t="str">
        <f>$A$76</f>
        <v>Sport and recreation</v>
      </c>
      <c r="B160" s="17">
        <f t="shared" ref="B160:F160" si="37">B76/B$81*100</f>
        <v>1.692565826752753</v>
      </c>
      <c r="C160" s="17">
        <f t="shared" si="37"/>
        <v>1.867522003765502</v>
      </c>
      <c r="D160" s="17">
        <f t="shared" si="37"/>
        <v>1.6965531318941973</v>
      </c>
      <c r="E160" s="17">
        <f t="shared" si="37"/>
        <v>1.926369597116679</v>
      </c>
      <c r="F160" s="17">
        <f t="shared" si="37"/>
        <v>2.1423459141705412</v>
      </c>
    </row>
    <row r="161" spans="1:6" x14ac:dyDescent="0.2">
      <c r="A161" t="str">
        <f>$A$77</f>
        <v>Membership organisations</v>
      </c>
      <c r="B161" s="17">
        <f t="shared" ref="B161:F161" si="38">B77/B$81*100</f>
        <v>1.1741567690649795</v>
      </c>
      <c r="C161" s="17">
        <f t="shared" si="38"/>
        <v>1.2041428618091952</v>
      </c>
      <c r="D161" s="17">
        <f t="shared" si="38"/>
        <v>1.0809373471282373</v>
      </c>
      <c r="E161" s="17">
        <f t="shared" si="38"/>
        <v>1.0674626592322294</v>
      </c>
      <c r="F161" s="17">
        <f t="shared" si="38"/>
        <v>1.0253100759815177</v>
      </c>
    </row>
    <row r="162" spans="1:6" x14ac:dyDescent="0.2">
      <c r="A162" t="str">
        <f>$A$78</f>
        <v>Repair of goods</v>
      </c>
      <c r="B162" s="17">
        <f t="shared" ref="B162:F162" si="39">B78/B$81*100</f>
        <v>0.1688875072220701</v>
      </c>
      <c r="C162" s="17">
        <f t="shared" si="39"/>
        <v>0.25984881707656365</v>
      </c>
      <c r="D162" s="17">
        <f t="shared" si="39"/>
        <v>0.28529618679970753</v>
      </c>
      <c r="E162" s="17">
        <f t="shared" si="39"/>
        <v>0.28944094708629198</v>
      </c>
      <c r="F162" s="17">
        <f t="shared" si="39"/>
        <v>0.28705966155840223</v>
      </c>
    </row>
    <row r="163" spans="1:6" x14ac:dyDescent="0.2">
      <c r="A163" t="str">
        <f>$A$79</f>
        <v>Other personal service</v>
      </c>
      <c r="B163" s="17">
        <f>B79/B$81*100</f>
        <v>1.2532240870060798</v>
      </c>
      <c r="C163" s="17">
        <f t="shared" ref="C163:F163" si="40">C79/C$81*100</f>
        <v>1.3739544182796157</v>
      </c>
      <c r="D163" s="17">
        <f t="shared" si="40"/>
        <v>1.2834232265543679</v>
      </c>
      <c r="E163" s="17">
        <f t="shared" si="40"/>
        <v>1.2743182869877054</v>
      </c>
      <c r="F163" s="17">
        <f t="shared" si="40"/>
        <v>1.23493368863494</v>
      </c>
    </row>
    <row r="164" spans="1:6" x14ac:dyDescent="0.2">
      <c r="B164" s="17"/>
      <c r="C164" s="17"/>
      <c r="D164" s="17"/>
      <c r="E164" s="17"/>
      <c r="F164" s="17"/>
    </row>
    <row r="165" spans="1:6" x14ac:dyDescent="0.2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2">
      <c r="B166" s="17"/>
      <c r="C166" s="17"/>
      <c r="D166" s="17"/>
      <c r="E166" s="17"/>
      <c r="F166" s="17"/>
    </row>
    <row r="167" spans="1:6" x14ac:dyDescent="0.2">
      <c r="B167" s="17"/>
      <c r="C167" s="17"/>
      <c r="D167" s="17"/>
      <c r="E167" s="17"/>
      <c r="F167" s="17"/>
    </row>
    <row r="168" spans="1:6" x14ac:dyDescent="0.2">
      <c r="B168" s="17"/>
      <c r="C168" s="17"/>
      <c r="D168" s="17"/>
      <c r="E168" s="17"/>
      <c r="F168" s="17"/>
    </row>
    <row r="169" spans="1:6" ht="15.75" x14ac:dyDescent="0.25">
      <c r="A169" s="18" t="str">
        <f>CONCATENATE($A$1," (Continued)")</f>
        <v>Industry Table 3  Employment by Industry (SIC 2007), 2015-2035, South West (Continued)</v>
      </c>
      <c r="B169" s="17"/>
      <c r="C169" s="17"/>
      <c r="D169" s="17"/>
      <c r="E169" s="17"/>
      <c r="F169" s="17"/>
    </row>
    <row r="171" spans="1:6" x14ac:dyDescent="0.2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2">
      <c r="A172" s="27" t="s">
        <v>14</v>
      </c>
    </row>
    <row r="173" spans="1:6" x14ac:dyDescent="0.2">
      <c r="A173" t="str">
        <f>$A$5</f>
        <v>Agriculture, etc</v>
      </c>
      <c r="B173" s="17">
        <f t="shared" ref="B173:E192" si="41">IF(AND(C$3-B$3 &lt;&gt; 0,B5&lt;&gt;0,C5&lt;&gt;0),(EXP(LN(C5/B5)/(C$3-B$3))-1)*100,0)</f>
        <v>-2.0955135984268569E-2</v>
      </c>
      <c r="C173" s="17">
        <f t="shared" si="41"/>
        <v>22.261824890041382</v>
      </c>
      <c r="D173" s="17">
        <f t="shared" si="41"/>
        <v>0.69440783271090822</v>
      </c>
      <c r="E173" s="17">
        <f t="shared" si="41"/>
        <v>0.27374139225440075</v>
      </c>
      <c r="F173" s="17">
        <f>IF(AND(F$3-D$3 &lt;&gt; 0,D5&lt;&gt;0,F5&lt;&gt;0),(EXP(LN(F5/D5)/(F$3-D$3))-1)*100,0)</f>
        <v>0.413767909070617</v>
      </c>
    </row>
    <row r="174" spans="1:6" x14ac:dyDescent="0.2">
      <c r="A174" t="str">
        <f>$A$6</f>
        <v>Coal, oil &amp; gas; Mining &amp; related</v>
      </c>
      <c r="B174" s="17">
        <f t="shared" si="41"/>
        <v>-7.1706559485727244</v>
      </c>
      <c r="C174" s="17">
        <f t="shared" si="41"/>
        <v>1.3233601845229259</v>
      </c>
      <c r="D174" s="17">
        <f t="shared" si="41"/>
        <v>-4.890491627640559</v>
      </c>
      <c r="E174" s="17">
        <f t="shared" si="41"/>
        <v>-3.6237513356167095</v>
      </c>
      <c r="F174" s="17">
        <f t="shared" ref="F174:F237" si="42">IF(AND(F$3-D$3 &lt;&gt; 0,D6&lt;&gt;0,F6&lt;&gt;0),(EXP(LN(F6/D6)/(F$3-D$3))-1)*100,0)</f>
        <v>-4.047861688957477</v>
      </c>
    </row>
    <row r="175" spans="1:6" x14ac:dyDescent="0.2">
      <c r="A175" t="str">
        <f>$A$7</f>
        <v>Food products</v>
      </c>
      <c r="B175" s="17">
        <f t="shared" si="41"/>
        <v>-1.2340675028832737</v>
      </c>
      <c r="C175" s="17">
        <f t="shared" si="41"/>
        <v>1.9737736107011017</v>
      </c>
      <c r="D175" s="17">
        <f t="shared" si="41"/>
        <v>-1.3942380343998972</v>
      </c>
      <c r="E175" s="17">
        <f t="shared" si="41"/>
        <v>-1.8608709080974672</v>
      </c>
      <c r="F175" s="17">
        <f t="shared" si="42"/>
        <v>-1.7055724955337914</v>
      </c>
    </row>
    <row r="176" spans="1:6" x14ac:dyDescent="0.2">
      <c r="A176" t="str">
        <f>$A$8</f>
        <v>Beverages and tobacco</v>
      </c>
      <c r="B176" s="17">
        <f t="shared" si="41"/>
        <v>5.6345865833345998</v>
      </c>
      <c r="C176" s="17">
        <f t="shared" si="41"/>
        <v>2.6555386950297688</v>
      </c>
      <c r="D176" s="17">
        <f t="shared" si="41"/>
        <v>-1.1999236759758336</v>
      </c>
      <c r="E176" s="17">
        <f t="shared" si="41"/>
        <v>-1.6615790131595976</v>
      </c>
      <c r="F176" s="17">
        <f t="shared" si="42"/>
        <v>-1.5079340821617215</v>
      </c>
    </row>
    <row r="177" spans="1:6" x14ac:dyDescent="0.2">
      <c r="A177" t="str">
        <f>$A$9</f>
        <v>Textiles</v>
      </c>
      <c r="B177" s="17">
        <f t="shared" si="41"/>
        <v>-13.256883940936937</v>
      </c>
      <c r="C177" s="17">
        <f t="shared" si="41"/>
        <v>11.292016805824767</v>
      </c>
      <c r="D177" s="17">
        <f t="shared" si="41"/>
        <v>-2.794653095599664</v>
      </c>
      <c r="E177" s="17">
        <f t="shared" si="41"/>
        <v>-1.6951382207681331</v>
      </c>
      <c r="F177" s="17">
        <f t="shared" si="42"/>
        <v>-2.063018155056906</v>
      </c>
    </row>
    <row r="178" spans="1:6" x14ac:dyDescent="0.2">
      <c r="A178" t="str">
        <f>$A$10</f>
        <v>Wearing apparel; Leather, etc</v>
      </c>
      <c r="B178" s="17">
        <f t="shared" si="41"/>
        <v>0.61311283188334453</v>
      </c>
      <c r="C178" s="17">
        <f t="shared" si="41"/>
        <v>10.309278349838813</v>
      </c>
      <c r="D178" s="17">
        <f t="shared" si="41"/>
        <v>-2.7298030208290358</v>
      </c>
      <c r="E178" s="17">
        <f t="shared" si="41"/>
        <v>-1.6470733582745423</v>
      </c>
      <c r="F178" s="17">
        <f t="shared" si="42"/>
        <v>-2.0093157783124371</v>
      </c>
    </row>
    <row r="179" spans="1:6" x14ac:dyDescent="0.2">
      <c r="A179" t="str">
        <f>$A$11</f>
        <v xml:space="preserve">Wood and cork </v>
      </c>
      <c r="B179" s="17">
        <f t="shared" si="41"/>
        <v>-10.111170866961317</v>
      </c>
      <c r="C179" s="17">
        <f t="shared" si="41"/>
        <v>6.8669527897165183</v>
      </c>
      <c r="D179" s="17">
        <f t="shared" si="41"/>
        <v>1.1427052884054545</v>
      </c>
      <c r="E179" s="17">
        <f t="shared" si="41"/>
        <v>-0.42542186906142643</v>
      </c>
      <c r="F179" s="17">
        <f t="shared" si="42"/>
        <v>9.4567020152980241E-2</v>
      </c>
    </row>
    <row r="180" spans="1:6" x14ac:dyDescent="0.2">
      <c r="A180" t="str">
        <f>$A$12</f>
        <v>Paper, etc</v>
      </c>
      <c r="B180" s="17">
        <f t="shared" si="41"/>
        <v>-2.8712608531702655</v>
      </c>
      <c r="C180" s="17">
        <f t="shared" si="41"/>
        <v>-9.12014702479369</v>
      </c>
      <c r="D180" s="17">
        <f t="shared" si="41"/>
        <v>1.3340016102036945</v>
      </c>
      <c r="E180" s="17">
        <f t="shared" si="41"/>
        <v>-0.35332964822218926</v>
      </c>
      <c r="F180" s="17">
        <f t="shared" si="42"/>
        <v>0.20596898972071731</v>
      </c>
    </row>
    <row r="181" spans="1:6" x14ac:dyDescent="0.2">
      <c r="A181" t="str">
        <f>$A$13</f>
        <v>Printing and recording</v>
      </c>
      <c r="B181" s="17">
        <f t="shared" si="41"/>
        <v>2.2779103120565081</v>
      </c>
      <c r="C181" s="17">
        <f t="shared" si="41"/>
        <v>1.2831572136499103</v>
      </c>
      <c r="D181" s="17">
        <f t="shared" si="41"/>
        <v>-1.8653904334503868</v>
      </c>
      <c r="E181" s="17">
        <f t="shared" si="41"/>
        <v>-2.0790711475815016</v>
      </c>
      <c r="F181" s="17">
        <f t="shared" si="42"/>
        <v>-2.0078959900360904</v>
      </c>
    </row>
    <row r="182" spans="1:6" x14ac:dyDescent="0.2">
      <c r="A182" t="str">
        <f>$A$14</f>
        <v>Coke and petroleum; Chemicals, etc</v>
      </c>
      <c r="B182" s="17">
        <f t="shared" si="41"/>
        <v>8.1466047255549956</v>
      </c>
      <c r="C182" s="17">
        <f t="shared" si="41"/>
        <v>1.6785022592894494</v>
      </c>
      <c r="D182" s="17">
        <f t="shared" si="41"/>
        <v>1.6059932954219702</v>
      </c>
      <c r="E182" s="17">
        <f t="shared" si="41"/>
        <v>0.76027467316412967</v>
      </c>
      <c r="F182" s="17">
        <f t="shared" si="42"/>
        <v>1.0413958231953568</v>
      </c>
    </row>
    <row r="183" spans="1:6" x14ac:dyDescent="0.2">
      <c r="A183" t="str">
        <f>$A$15</f>
        <v>Pharmaceuticals</v>
      </c>
      <c r="B183" s="17">
        <f t="shared" si="41"/>
        <v>18.008127187239431</v>
      </c>
      <c r="C183" s="17">
        <f t="shared" si="41"/>
        <v>1.9932230413941987</v>
      </c>
      <c r="D183" s="17">
        <f t="shared" si="41"/>
        <v>2.8292542754488004</v>
      </c>
      <c r="E183" s="17">
        <f t="shared" si="41"/>
        <v>0.21714177209894991</v>
      </c>
      <c r="F183" s="17">
        <f t="shared" si="42"/>
        <v>1.0803887820228342</v>
      </c>
    </row>
    <row r="184" spans="1:6" x14ac:dyDescent="0.2">
      <c r="A184" t="str">
        <f>$A$16</f>
        <v>Rubber and plastic</v>
      </c>
      <c r="B184" s="17">
        <f t="shared" si="41"/>
        <v>-4.8278574671762664</v>
      </c>
      <c r="C184" s="17">
        <f t="shared" si="41"/>
        <v>6.1019806155250267</v>
      </c>
      <c r="D184" s="17">
        <f t="shared" si="41"/>
        <v>0.21828397801357813</v>
      </c>
      <c r="E184" s="17">
        <f t="shared" si="41"/>
        <v>-1.0820773741824441</v>
      </c>
      <c r="F184" s="17">
        <f t="shared" si="42"/>
        <v>-0.65050921343822177</v>
      </c>
    </row>
    <row r="185" spans="1:6" x14ac:dyDescent="0.2">
      <c r="A185" t="str">
        <f>$A$17</f>
        <v>Other non-metallic</v>
      </c>
      <c r="B185" s="17">
        <f t="shared" si="41"/>
        <v>7.523885302494504</v>
      </c>
      <c r="C185" s="17">
        <f t="shared" si="41"/>
        <v>-3.5953337157227372</v>
      </c>
      <c r="D185" s="17">
        <f t="shared" si="41"/>
        <v>0.24478164208090458</v>
      </c>
      <c r="E185" s="17">
        <f t="shared" si="41"/>
        <v>-1.0841141422815337</v>
      </c>
      <c r="F185" s="17">
        <f t="shared" si="42"/>
        <v>-0.64311789421812593</v>
      </c>
    </row>
    <row r="186" spans="1:6" x14ac:dyDescent="0.2">
      <c r="A186" t="str">
        <f>$A$18</f>
        <v>Basic metals</v>
      </c>
      <c r="B186" s="17">
        <f t="shared" si="41"/>
        <v>5.6015291959800706</v>
      </c>
      <c r="C186" s="17">
        <f t="shared" si="41"/>
        <v>-10.989375829834835</v>
      </c>
      <c r="D186" s="17">
        <f t="shared" si="41"/>
        <v>-1.2074745976583867</v>
      </c>
      <c r="E186" s="17">
        <f t="shared" si="41"/>
        <v>-1.2979809709968926</v>
      </c>
      <c r="F186" s="17">
        <f t="shared" si="42"/>
        <v>-1.2678213964390284</v>
      </c>
    </row>
    <row r="187" spans="1:6" x14ac:dyDescent="0.2">
      <c r="A187" t="str">
        <f>$A$19</f>
        <v>Metal products</v>
      </c>
      <c r="B187" s="17">
        <f t="shared" si="41"/>
        <v>2.7761355666156895</v>
      </c>
      <c r="C187" s="17">
        <f t="shared" si="41"/>
        <v>-8.8100193783460021</v>
      </c>
      <c r="D187" s="17">
        <f t="shared" si="41"/>
        <v>-1.2227216424894771</v>
      </c>
      <c r="E187" s="17">
        <f t="shared" si="41"/>
        <v>-1.3161193554242501</v>
      </c>
      <c r="F187" s="17">
        <f t="shared" si="42"/>
        <v>-1.2849966009192526</v>
      </c>
    </row>
    <row r="188" spans="1:6" x14ac:dyDescent="0.2">
      <c r="A188" t="str">
        <f>$A$20</f>
        <v>Computer, etc</v>
      </c>
      <c r="B188" s="17">
        <f t="shared" si="41"/>
        <v>1.3543166078570312</v>
      </c>
      <c r="C188" s="17">
        <f t="shared" si="41"/>
        <v>3.9121636814522853</v>
      </c>
      <c r="D188" s="17">
        <f t="shared" si="41"/>
        <v>-0.30915409172814767</v>
      </c>
      <c r="E188" s="17">
        <f t="shared" si="41"/>
        <v>-3.1233727501620567</v>
      </c>
      <c r="F188" s="17">
        <f t="shared" si="42"/>
        <v>-2.1942395680167426</v>
      </c>
    </row>
    <row r="189" spans="1:6" x14ac:dyDescent="0.2">
      <c r="A189" t="str">
        <f>$A$21</f>
        <v>Electrical equipment</v>
      </c>
      <c r="B189" s="17">
        <f t="shared" si="41"/>
        <v>-3.3007579354014549</v>
      </c>
      <c r="C189" s="17">
        <f t="shared" si="41"/>
        <v>-6.7761614266892085</v>
      </c>
      <c r="D189" s="17">
        <f t="shared" si="41"/>
        <v>-0.84992364282522326</v>
      </c>
      <c r="E189" s="17">
        <f t="shared" si="41"/>
        <v>-0.43497639099834284</v>
      </c>
      <c r="F189" s="17">
        <f t="shared" si="42"/>
        <v>-0.57348473600279393</v>
      </c>
    </row>
    <row r="190" spans="1:6" x14ac:dyDescent="0.2">
      <c r="A190" t="str">
        <f>$A$22</f>
        <v>Machinery n.e.c.</v>
      </c>
      <c r="B190" s="17">
        <f t="shared" si="41"/>
        <v>0.44743846504415874</v>
      </c>
      <c r="C190" s="17">
        <f t="shared" si="41"/>
        <v>-4.7110879750644985</v>
      </c>
      <c r="D190" s="17">
        <f t="shared" si="41"/>
        <v>-1.038557572438592</v>
      </c>
      <c r="E190" s="17">
        <f t="shared" si="41"/>
        <v>-1.6593923008922373</v>
      </c>
      <c r="F190" s="17">
        <f t="shared" si="42"/>
        <v>-1.4528813588428724</v>
      </c>
    </row>
    <row r="191" spans="1:6" x14ac:dyDescent="0.2">
      <c r="A191" t="str">
        <f>$A$23</f>
        <v>Motor vehicles, etc</v>
      </c>
      <c r="B191" s="17">
        <f t="shared" si="41"/>
        <v>-1.0180466837457658</v>
      </c>
      <c r="C191" s="17">
        <f t="shared" si="41"/>
        <v>-5.3581966243095085</v>
      </c>
      <c r="D191" s="17">
        <f t="shared" si="41"/>
        <v>-0.38960591853314241</v>
      </c>
      <c r="E191" s="17">
        <f t="shared" si="41"/>
        <v>-1.3207036588711252</v>
      </c>
      <c r="F191" s="17">
        <f t="shared" si="42"/>
        <v>-1.0113088225657152</v>
      </c>
    </row>
    <row r="192" spans="1:6" x14ac:dyDescent="0.2">
      <c r="A192" t="str">
        <f>$A$24</f>
        <v>Other transport equipment</v>
      </c>
      <c r="B192" s="17">
        <f t="shared" si="41"/>
        <v>0.90167285026965249</v>
      </c>
      <c r="C192" s="17">
        <f t="shared" si="41"/>
        <v>2.3848660495799034</v>
      </c>
      <c r="D192" s="17">
        <f t="shared" si="41"/>
        <v>-1.9486329351031451</v>
      </c>
      <c r="E192" s="17">
        <f t="shared" si="41"/>
        <v>1.2009598444562508</v>
      </c>
      <c r="F192" s="17">
        <f t="shared" si="42"/>
        <v>0.14001192476651436</v>
      </c>
    </row>
    <row r="193" spans="1:6" x14ac:dyDescent="0.2">
      <c r="A193" t="str">
        <f>$A$25</f>
        <v>Furniture</v>
      </c>
      <c r="B193" s="17">
        <f t="shared" ref="B193:E212" si="43">IF(AND(C$3-B$3 &lt;&gt; 0,B25&lt;&gt;0,C25&lt;&gt;0),(EXP(LN(C25/B25)/(C$3-B$3))-1)*100,0)</f>
        <v>-6.7260425921854106</v>
      </c>
      <c r="C193" s="17">
        <f t="shared" si="43"/>
        <v>3.5387045816601459</v>
      </c>
      <c r="D193" s="17">
        <f t="shared" si="43"/>
        <v>-1.9151108199059519</v>
      </c>
      <c r="E193" s="17">
        <f t="shared" si="43"/>
        <v>0.15852816834094341</v>
      </c>
      <c r="F193" s="17">
        <f t="shared" si="42"/>
        <v>-0.53751065534493048</v>
      </c>
    </row>
    <row r="194" spans="1:6" x14ac:dyDescent="0.2">
      <c r="A194" t="str">
        <f>$A$26</f>
        <v>Other manufacturing</v>
      </c>
      <c r="B194" s="17">
        <f t="shared" si="43"/>
        <v>22.970459699197001</v>
      </c>
      <c r="C194" s="17">
        <f t="shared" si="43"/>
        <v>4.3248708154440152</v>
      </c>
      <c r="D194" s="17">
        <f t="shared" si="43"/>
        <v>-2.0098371918699676</v>
      </c>
      <c r="E194" s="17">
        <f t="shared" si="43"/>
        <v>0.13857606725089511</v>
      </c>
      <c r="F194" s="17">
        <f t="shared" si="42"/>
        <v>-0.58274505154887191</v>
      </c>
    </row>
    <row r="195" spans="1:6" x14ac:dyDescent="0.2">
      <c r="A195" t="str">
        <f>$A$27</f>
        <v>Repair and installation</v>
      </c>
      <c r="B195" s="17">
        <f t="shared" si="43"/>
        <v>-4.37610521675873</v>
      </c>
      <c r="C195" s="17">
        <f t="shared" si="43"/>
        <v>5.8327393679372452</v>
      </c>
      <c r="D195" s="17">
        <f t="shared" si="43"/>
        <v>-1.8496363425753448</v>
      </c>
      <c r="E195" s="17">
        <f t="shared" si="43"/>
        <v>0.31466871214109737</v>
      </c>
      <c r="F195" s="17">
        <f t="shared" si="42"/>
        <v>-0.41201776239919718</v>
      </c>
    </row>
    <row r="196" spans="1:6" x14ac:dyDescent="0.2">
      <c r="A196" t="str">
        <f>$A$28</f>
        <v>Electricity, gas, etc</v>
      </c>
      <c r="B196" s="17">
        <f t="shared" si="43"/>
        <v>12.120891822832537</v>
      </c>
      <c r="C196" s="17">
        <f t="shared" si="43"/>
        <v>38.107232817249034</v>
      </c>
      <c r="D196" s="17">
        <f t="shared" si="43"/>
        <v>-1.1463583740599526</v>
      </c>
      <c r="E196" s="17">
        <f t="shared" si="43"/>
        <v>-0.29650015189659484</v>
      </c>
      <c r="F196" s="17">
        <f t="shared" si="42"/>
        <v>-0.58059495583130394</v>
      </c>
    </row>
    <row r="197" spans="1:6" x14ac:dyDescent="0.2">
      <c r="A197" t="str">
        <f>$A$29</f>
        <v>Water</v>
      </c>
      <c r="B197" s="17">
        <f t="shared" si="43"/>
        <v>9.3919437482824275</v>
      </c>
      <c r="C197" s="17">
        <f t="shared" si="43"/>
        <v>-2.2788844621479787</v>
      </c>
      <c r="D197" s="17">
        <f t="shared" si="43"/>
        <v>1.1537593005501057</v>
      </c>
      <c r="E197" s="17">
        <f t="shared" si="43"/>
        <v>0.86342030933674874</v>
      </c>
      <c r="F197" s="17">
        <f t="shared" si="42"/>
        <v>0.96010726004240876</v>
      </c>
    </row>
    <row r="198" spans="1:6" x14ac:dyDescent="0.2">
      <c r="A198" t="str">
        <f>$A$30</f>
        <v>Sewerage</v>
      </c>
      <c r="B198" s="17">
        <f t="shared" si="43"/>
        <v>1.5979999804127676</v>
      </c>
      <c r="C198" s="17">
        <f t="shared" si="43"/>
        <v>-3.6546184732833664</v>
      </c>
      <c r="D198" s="17">
        <f t="shared" si="43"/>
        <v>1.0530356506831762</v>
      </c>
      <c r="E198" s="17">
        <f t="shared" si="43"/>
        <v>0.7606143619903305</v>
      </c>
      <c r="F198" s="17">
        <f t="shared" si="42"/>
        <v>0.8579939824949534</v>
      </c>
    </row>
    <row r="199" spans="1:6" x14ac:dyDescent="0.2">
      <c r="A199" t="str">
        <f>$A$31</f>
        <v>Waste management</v>
      </c>
      <c r="B199" s="17">
        <f t="shared" si="43"/>
        <v>1.8193734151297214</v>
      </c>
      <c r="C199" s="17">
        <f t="shared" si="43"/>
        <v>-10.447657444279546</v>
      </c>
      <c r="D199" s="17">
        <f t="shared" si="43"/>
        <v>1.1692611590721436</v>
      </c>
      <c r="E199" s="17">
        <f t="shared" si="43"/>
        <v>0.88658559517968971</v>
      </c>
      <c r="F199" s="17">
        <f t="shared" si="42"/>
        <v>0.98072291624367036</v>
      </c>
    </row>
    <row r="200" spans="1:6" x14ac:dyDescent="0.2">
      <c r="A200" t="str">
        <f>$A$32</f>
        <v>Construction</v>
      </c>
      <c r="B200" s="17">
        <f t="shared" si="43"/>
        <v>11.009020984928419</v>
      </c>
      <c r="C200" s="17">
        <f t="shared" si="43"/>
        <v>0.65745173031557247</v>
      </c>
      <c r="D200" s="17">
        <f t="shared" si="43"/>
        <v>1.6300836008252606</v>
      </c>
      <c r="E200" s="17">
        <f t="shared" si="43"/>
        <v>1.0317622073672705</v>
      </c>
      <c r="F200" s="17">
        <f t="shared" si="42"/>
        <v>1.2308102591575443</v>
      </c>
    </row>
    <row r="201" spans="1:6" x14ac:dyDescent="0.2">
      <c r="A201" t="str">
        <f>$A$33</f>
        <v>Civil engineering</v>
      </c>
      <c r="B201" s="17">
        <f t="shared" si="43"/>
        <v>4.2290920548855748</v>
      </c>
      <c r="C201" s="17">
        <f t="shared" si="43"/>
        <v>-3.2506863060125957</v>
      </c>
      <c r="D201" s="17">
        <f t="shared" si="43"/>
        <v>1.6641695502049858</v>
      </c>
      <c r="E201" s="17">
        <f t="shared" si="43"/>
        <v>1.0300093630521756</v>
      </c>
      <c r="F201" s="17">
        <f t="shared" si="42"/>
        <v>1.2409553401365292</v>
      </c>
    </row>
    <row r="202" spans="1:6" x14ac:dyDescent="0.2">
      <c r="A202" t="str">
        <f>$A$34</f>
        <v>Specialised construction</v>
      </c>
      <c r="B202" s="17">
        <f t="shared" si="43"/>
        <v>3.6473136200432243E-2</v>
      </c>
      <c r="C202" s="17">
        <f t="shared" si="43"/>
        <v>-2.7313731380899431</v>
      </c>
      <c r="D202" s="17">
        <f t="shared" si="43"/>
        <v>1.64263847882824</v>
      </c>
      <c r="E202" s="17">
        <f t="shared" si="43"/>
        <v>1.0189549565193579</v>
      </c>
      <c r="F202" s="17">
        <f t="shared" si="42"/>
        <v>1.2264230836747991</v>
      </c>
    </row>
    <row r="203" spans="1:6" x14ac:dyDescent="0.2">
      <c r="A203" t="str">
        <f>$A$35</f>
        <v>Motor vehicle trade</v>
      </c>
      <c r="B203" s="17">
        <f t="shared" si="43"/>
        <v>-2.4390014984227437</v>
      </c>
      <c r="C203" s="17">
        <f t="shared" si="43"/>
        <v>-3.2553305617709638</v>
      </c>
      <c r="D203" s="17">
        <f t="shared" si="43"/>
        <v>0.35133620146521327</v>
      </c>
      <c r="E203" s="17">
        <f t="shared" si="43"/>
        <v>0.23850663668334438</v>
      </c>
      <c r="F203" s="17">
        <f t="shared" si="42"/>
        <v>0.27610238907305185</v>
      </c>
    </row>
    <row r="204" spans="1:6" x14ac:dyDescent="0.2">
      <c r="A204" t="str">
        <f>$A$36</f>
        <v>Wholesale trade</v>
      </c>
      <c r="B204" s="17">
        <f t="shared" si="43"/>
        <v>-0.82770817993252921</v>
      </c>
      <c r="C204" s="17">
        <f t="shared" si="43"/>
        <v>0.76769062315931169</v>
      </c>
      <c r="D204" s="17">
        <f t="shared" si="43"/>
        <v>-8.5639561261841024E-3</v>
      </c>
      <c r="E204" s="17">
        <f t="shared" si="43"/>
        <v>-0.12402056315573562</v>
      </c>
      <c r="F204" s="17">
        <f t="shared" si="42"/>
        <v>-8.5549847719068595E-2</v>
      </c>
    </row>
    <row r="205" spans="1:6" x14ac:dyDescent="0.2">
      <c r="A205" t="str">
        <f>$A$37</f>
        <v>Retail trade</v>
      </c>
      <c r="B205" s="17">
        <f t="shared" si="43"/>
        <v>0.79242871456439712</v>
      </c>
      <c r="C205" s="17">
        <f t="shared" si="43"/>
        <v>3.5750107722172464</v>
      </c>
      <c r="D205" s="17">
        <f t="shared" si="43"/>
        <v>6.1384528695507257E-2</v>
      </c>
      <c r="E205" s="17">
        <f t="shared" si="43"/>
        <v>8.6792834318827339E-2</v>
      </c>
      <c r="F205" s="17">
        <f t="shared" si="42"/>
        <v>7.8322682318665571E-2</v>
      </c>
    </row>
    <row r="206" spans="1:6" x14ac:dyDescent="0.2">
      <c r="A206" t="str">
        <f>$A$38</f>
        <v>Land transport, etc</v>
      </c>
      <c r="B206" s="17">
        <f t="shared" si="43"/>
        <v>0.51714361866828096</v>
      </c>
      <c r="C206" s="17">
        <f t="shared" si="43"/>
        <v>-5.0135153778961712</v>
      </c>
      <c r="D206" s="17">
        <f t="shared" si="43"/>
        <v>0.10447177629060445</v>
      </c>
      <c r="E206" s="17">
        <f t="shared" si="43"/>
        <v>-0.16823072094296343</v>
      </c>
      <c r="F206" s="17">
        <f t="shared" si="42"/>
        <v>-7.7412532008758195E-2</v>
      </c>
    </row>
    <row r="207" spans="1:6" x14ac:dyDescent="0.2">
      <c r="A207" t="str">
        <f>$A$39</f>
        <v>Water transport</v>
      </c>
      <c r="B207" s="17">
        <f t="shared" si="43"/>
        <v>-14.91868494484676</v>
      </c>
      <c r="C207" s="17">
        <f t="shared" si="43"/>
        <v>2.6856240127530517</v>
      </c>
      <c r="D207" s="17">
        <f t="shared" si="43"/>
        <v>-4.1086458361676677</v>
      </c>
      <c r="E207" s="17">
        <f t="shared" si="43"/>
        <v>-1.2650895678544272</v>
      </c>
      <c r="F207" s="17">
        <f t="shared" si="42"/>
        <v>-2.22218945290098</v>
      </c>
    </row>
    <row r="208" spans="1:6" x14ac:dyDescent="0.2">
      <c r="A208" t="str">
        <f>$A$40</f>
        <v>Air transport</v>
      </c>
      <c r="B208" s="17">
        <f t="shared" si="43"/>
        <v>6.5305962961662356</v>
      </c>
      <c r="C208" s="17">
        <f t="shared" si="43"/>
        <v>-1.5915119362454933</v>
      </c>
      <c r="D208" s="17">
        <f t="shared" si="43"/>
        <v>4.530112133736508</v>
      </c>
      <c r="E208" s="17">
        <f t="shared" si="43"/>
        <v>1.0672793796058677</v>
      </c>
      <c r="F208" s="17">
        <f t="shared" si="42"/>
        <v>2.2086194368081236</v>
      </c>
    </row>
    <row r="209" spans="1:6" x14ac:dyDescent="0.2">
      <c r="A209" t="str">
        <f>$A$41</f>
        <v>Warehousing, etc</v>
      </c>
      <c r="B209" s="17">
        <f t="shared" si="43"/>
        <v>2.4015321126321432</v>
      </c>
      <c r="C209" s="17">
        <f t="shared" si="43"/>
        <v>-1.0179535316879207</v>
      </c>
      <c r="D209" s="17">
        <f t="shared" si="43"/>
        <v>0.79517221422487072</v>
      </c>
      <c r="E209" s="17">
        <f t="shared" si="43"/>
        <v>1.5087746512709721E-2</v>
      </c>
      <c r="F209" s="17">
        <f t="shared" si="42"/>
        <v>0.27444277225343594</v>
      </c>
    </row>
    <row r="210" spans="1:6" x14ac:dyDescent="0.2">
      <c r="A210" t="str">
        <f>$A$42</f>
        <v>Postal and courier</v>
      </c>
      <c r="B210" s="17">
        <f t="shared" si="43"/>
        <v>-5.1128981632568404</v>
      </c>
      <c r="C210" s="17">
        <f t="shared" si="43"/>
        <v>5.7685767729743542</v>
      </c>
      <c r="D210" s="17">
        <f t="shared" si="43"/>
        <v>1.0037221727893009</v>
      </c>
      <c r="E210" s="17">
        <f t="shared" si="43"/>
        <v>0.22032232430517773</v>
      </c>
      <c r="F210" s="17">
        <f t="shared" si="42"/>
        <v>0.48077813976834527</v>
      </c>
    </row>
    <row r="211" spans="1:6" x14ac:dyDescent="0.2">
      <c r="A211" t="str">
        <f>$A$43</f>
        <v>Accommodation</v>
      </c>
      <c r="B211" s="17">
        <f t="shared" si="43"/>
        <v>3.3454151897060802</v>
      </c>
      <c r="C211" s="17">
        <f t="shared" si="43"/>
        <v>-7.0498665622696137</v>
      </c>
      <c r="D211" s="17">
        <f t="shared" si="43"/>
        <v>3.2763337865657327</v>
      </c>
      <c r="E211" s="17">
        <f t="shared" si="43"/>
        <v>0.71477485861646262</v>
      </c>
      <c r="F211" s="17">
        <f t="shared" si="42"/>
        <v>1.5614895097667558</v>
      </c>
    </row>
    <row r="212" spans="1:6" x14ac:dyDescent="0.2">
      <c r="A212" t="str">
        <f>$A$44</f>
        <v>Food and beverage services</v>
      </c>
      <c r="B212" s="17">
        <f t="shared" si="43"/>
        <v>5.2846020217774292</v>
      </c>
      <c r="C212" s="17">
        <f t="shared" si="43"/>
        <v>-2.1250154009769928</v>
      </c>
      <c r="D212" s="17">
        <f t="shared" si="43"/>
        <v>0.71147800526247806</v>
      </c>
      <c r="E212" s="17">
        <f t="shared" si="43"/>
        <v>1.5063505762842766</v>
      </c>
      <c r="F212" s="17">
        <f t="shared" si="42"/>
        <v>1.2406984211581928</v>
      </c>
    </row>
    <row r="213" spans="1:6" x14ac:dyDescent="0.2">
      <c r="A213" t="str">
        <f>$A$45</f>
        <v>Publishing activities</v>
      </c>
      <c r="B213" s="17">
        <f t="shared" ref="B213:C238" si="44">IF(AND(C$3-B$3 &lt;&gt; 0,B45&lt;&gt;0,C45&lt;&gt;0),(EXP(LN(C45/B45)/(C$3-B$3))-1)*100,0)</f>
        <v>8.935728303902879</v>
      </c>
      <c r="C213" s="17">
        <f t="shared" si="44"/>
        <v>-3.3460141801943344</v>
      </c>
      <c r="D213" s="17">
        <f t="shared" ref="D213:E213" si="45">IF(AND(E$3-D$3 &lt;&gt; 0,D45&lt;&gt;0,E45&lt;&gt;0),(EXP(LN(E45/D45)/(E$3-D$3))-1)*100,0)</f>
        <v>-0.65803538179445287</v>
      </c>
      <c r="E213" s="17">
        <f t="shared" si="45"/>
        <v>-0.28183918694837384</v>
      </c>
      <c r="F213" s="17">
        <f t="shared" si="42"/>
        <v>-0.40739594276270052</v>
      </c>
    </row>
    <row r="214" spans="1:6" x14ac:dyDescent="0.2">
      <c r="A214" t="str">
        <f>$A$46</f>
        <v>Film and music</v>
      </c>
      <c r="B214" s="17">
        <f t="shared" si="44"/>
        <v>7.9577685628828609</v>
      </c>
      <c r="C214" s="17">
        <f t="shared" si="44"/>
        <v>-14.658811978324604</v>
      </c>
      <c r="D214" s="17">
        <f t="shared" ref="D214:E214" si="46">IF(AND(E$3-D$3 &lt;&gt; 0,D46&lt;&gt;0,E46&lt;&gt;0),(EXP(LN(E46/D46)/(E$3-D$3))-1)*100,0)</f>
        <v>-0.6055405797287472</v>
      </c>
      <c r="E214" s="17">
        <f t="shared" si="46"/>
        <v>-0.19742790943269029</v>
      </c>
      <c r="F214" s="17">
        <f t="shared" si="42"/>
        <v>-0.33365131685730853</v>
      </c>
    </row>
    <row r="215" spans="1:6" x14ac:dyDescent="0.2">
      <c r="A215" t="str">
        <f>$A$47</f>
        <v>Broadcasting</v>
      </c>
      <c r="B215" s="17">
        <f t="shared" si="44"/>
        <v>47.918991876014715</v>
      </c>
      <c r="C215" s="17">
        <f t="shared" si="44"/>
        <v>-1.7406962791432723</v>
      </c>
      <c r="D215" s="17">
        <f t="shared" ref="D215:E215" si="47">IF(AND(E$3-D$3 &lt;&gt; 0,D47&lt;&gt;0,E47&lt;&gt;0),(EXP(LN(E47/D47)/(E$3-D$3))-1)*100,0)</f>
        <v>-0.70630290037617671</v>
      </c>
      <c r="E215" s="17">
        <f t="shared" si="47"/>
        <v>-0.30803236098579934</v>
      </c>
      <c r="F215" s="17">
        <f t="shared" si="42"/>
        <v>-0.44096638923863951</v>
      </c>
    </row>
    <row r="216" spans="1:6" x14ac:dyDescent="0.2">
      <c r="A216" t="str">
        <f>$A$48</f>
        <v>Telecommunications</v>
      </c>
      <c r="B216" s="17">
        <f t="shared" si="44"/>
        <v>-7.1506507954567482</v>
      </c>
      <c r="C216" s="17">
        <f t="shared" si="44"/>
        <v>-5.2296920775570355</v>
      </c>
      <c r="D216" s="17">
        <f t="shared" ref="D216:E216" si="48">IF(AND(E$3-D$3 &lt;&gt; 0,D48&lt;&gt;0,E48&lt;&gt;0),(EXP(LN(E48/D48)/(E$3-D$3))-1)*100,0)</f>
        <v>1.0410452727008135</v>
      </c>
      <c r="E216" s="17">
        <f t="shared" si="48"/>
        <v>0.5284158745670009</v>
      </c>
      <c r="F216" s="17">
        <f t="shared" si="42"/>
        <v>0.6990027078019212</v>
      </c>
    </row>
    <row r="217" spans="1:6" x14ac:dyDescent="0.2">
      <c r="A217" t="str">
        <f>$A$49</f>
        <v>Computing services</v>
      </c>
      <c r="B217" s="17">
        <f t="shared" si="44"/>
        <v>2.7252242669629334</v>
      </c>
      <c r="C217" s="17">
        <f t="shared" si="44"/>
        <v>-2.442075046847858</v>
      </c>
      <c r="D217" s="17">
        <f t="shared" ref="D217:E217" si="49">IF(AND(E$3-D$3 &lt;&gt; 0,D49&lt;&gt;0,E49&lt;&gt;0),(EXP(LN(E49/D49)/(E$3-D$3))-1)*100,0)</f>
        <v>1.1060135527506176</v>
      </c>
      <c r="E217" s="17">
        <f t="shared" si="49"/>
        <v>0.55052315274020103</v>
      </c>
      <c r="F217" s="17">
        <f t="shared" si="42"/>
        <v>0.73534668415642379</v>
      </c>
    </row>
    <row r="218" spans="1:6" x14ac:dyDescent="0.2">
      <c r="A218" t="str">
        <f>$A$50</f>
        <v>Information services</v>
      </c>
      <c r="B218" s="17">
        <f t="shared" si="44"/>
        <v>-15.785628497896809</v>
      </c>
      <c r="C218" s="17">
        <f t="shared" si="44"/>
        <v>-4.299094119538049</v>
      </c>
      <c r="D218" s="17">
        <f t="shared" ref="D218:E218" si="50">IF(AND(E$3-D$3 &lt;&gt; 0,D50&lt;&gt;0,E50&lt;&gt;0),(EXP(LN(E50/D50)/(E$3-D$3))-1)*100,0)</f>
        <v>1.2670186288176843</v>
      </c>
      <c r="E218" s="17">
        <f t="shared" si="50"/>
        <v>0.68361388790638689</v>
      </c>
      <c r="F218" s="17">
        <f t="shared" si="42"/>
        <v>0.87770772810751296</v>
      </c>
    </row>
    <row r="219" spans="1:6" x14ac:dyDescent="0.2">
      <c r="A219" t="str">
        <f>$A$51</f>
        <v>Financial services</v>
      </c>
      <c r="B219" s="17">
        <f t="shared" si="44"/>
        <v>-4.0918497772444056</v>
      </c>
      <c r="C219" s="17">
        <f t="shared" si="44"/>
        <v>11.421412685008626</v>
      </c>
      <c r="D219" s="17">
        <f t="shared" ref="D219:E219" si="51">IF(AND(E$3-D$3 &lt;&gt; 0,D51&lt;&gt;0,E51&lt;&gt;0),(EXP(LN(E51/D51)/(E$3-D$3))-1)*100,0)</f>
        <v>-4.7546328307546126E-2</v>
      </c>
      <c r="E219" s="17">
        <f t="shared" si="51"/>
        <v>-0.40545422475821713</v>
      </c>
      <c r="F219" s="17">
        <f t="shared" si="42"/>
        <v>-0.28629421859022175</v>
      </c>
    </row>
    <row r="220" spans="1:6" x14ac:dyDescent="0.2">
      <c r="A220" t="str">
        <f>$A$52</f>
        <v>Insurance and pensions</v>
      </c>
      <c r="B220" s="17">
        <f t="shared" si="44"/>
        <v>1.6828992779992724</v>
      </c>
      <c r="C220" s="17">
        <f t="shared" si="44"/>
        <v>11.451411959768333</v>
      </c>
      <c r="D220" s="17">
        <f t="shared" ref="D220:E220" si="52">IF(AND(E$3-D$3 &lt;&gt; 0,D52&lt;&gt;0,E52&lt;&gt;0),(EXP(LN(E52/D52)/(E$3-D$3))-1)*100,0)</f>
        <v>-5.7821835425009294E-2</v>
      </c>
      <c r="E220" s="17">
        <f t="shared" si="52"/>
        <v>-0.43051755361708244</v>
      </c>
      <c r="F220" s="17">
        <f t="shared" si="42"/>
        <v>-0.3064403290088058</v>
      </c>
    </row>
    <row r="221" spans="1:6" x14ac:dyDescent="0.2">
      <c r="A221" t="str">
        <f>$A$53</f>
        <v>Auxiliary financial services</v>
      </c>
      <c r="B221" s="17">
        <f t="shared" si="44"/>
        <v>-2.9503438323457365</v>
      </c>
      <c r="C221" s="17">
        <f t="shared" si="44"/>
        <v>11.679194880658738</v>
      </c>
      <c r="D221" s="17">
        <f t="shared" ref="D221:E221" si="53">IF(AND(E$3-D$3 &lt;&gt; 0,D53&lt;&gt;0,E53&lt;&gt;0),(EXP(LN(E53/D53)/(E$3-D$3))-1)*100,0)</f>
        <v>4.3351172033090357E-2</v>
      </c>
      <c r="E221" s="17">
        <f t="shared" si="53"/>
        <v>-0.37998905937131067</v>
      </c>
      <c r="F221" s="17">
        <f t="shared" si="42"/>
        <v>-0.23907506782897547</v>
      </c>
    </row>
    <row r="222" spans="1:6" x14ac:dyDescent="0.2">
      <c r="A222" t="str">
        <f>$A$54</f>
        <v>Real estate</v>
      </c>
      <c r="B222" s="17">
        <f t="shared" si="44"/>
        <v>2.055877098786163</v>
      </c>
      <c r="C222" s="17">
        <f t="shared" si="44"/>
        <v>3.7261043302225794</v>
      </c>
      <c r="D222" s="17">
        <f t="shared" ref="D222:E222" si="54">IF(AND(E$3-D$3 &lt;&gt; 0,D54&lt;&gt;0,E54&lt;&gt;0),(EXP(LN(E54/D54)/(E$3-D$3))-1)*100,0)</f>
        <v>-2.1152392354851335</v>
      </c>
      <c r="E222" s="17">
        <f t="shared" si="54"/>
        <v>6.5658661245571182E-2</v>
      </c>
      <c r="F222" s="17">
        <f t="shared" si="42"/>
        <v>-0.66665352317948345</v>
      </c>
    </row>
    <row r="223" spans="1:6" x14ac:dyDescent="0.2">
      <c r="A223" t="str">
        <f>$A$55</f>
        <v>Legal and accounting</v>
      </c>
      <c r="B223" s="17">
        <f t="shared" si="44"/>
        <v>6.264565010383838</v>
      </c>
      <c r="C223" s="17">
        <f t="shared" si="44"/>
        <v>-0.67966674426430673</v>
      </c>
      <c r="D223" s="17">
        <f t="shared" ref="D223:E223" si="55">IF(AND(E$3-D$3 &lt;&gt; 0,D55&lt;&gt;0,E55&lt;&gt;0),(EXP(LN(E55/D55)/(E$3-D$3))-1)*100,0)</f>
        <v>0.69459837296743654</v>
      </c>
      <c r="E223" s="17">
        <f t="shared" si="55"/>
        <v>0.33094086838343362</v>
      </c>
      <c r="F223" s="17">
        <f t="shared" si="42"/>
        <v>0.45201387459563591</v>
      </c>
    </row>
    <row r="224" spans="1:6" x14ac:dyDescent="0.2">
      <c r="A224" t="str">
        <f>$A$56</f>
        <v>Head offices, etc</v>
      </c>
      <c r="B224" s="17">
        <f t="shared" si="44"/>
        <v>6.1522125307140074</v>
      </c>
      <c r="C224" s="17">
        <f t="shared" si="44"/>
        <v>-0.79956877236163626</v>
      </c>
      <c r="D224" s="17">
        <f t="shared" ref="D224:E224" si="56">IF(AND(E$3-D$3 &lt;&gt; 0,D56&lt;&gt;0,E56&lt;&gt;0),(EXP(LN(E56/D56)/(E$3-D$3))-1)*100,0)</f>
        <v>0.32779624011154418</v>
      </c>
      <c r="E224" s="17">
        <f t="shared" si="56"/>
        <v>0.19327651391998213</v>
      </c>
      <c r="F224" s="17">
        <f t="shared" si="42"/>
        <v>0.23809637021658947</v>
      </c>
    </row>
    <row r="225" spans="1:6" x14ac:dyDescent="0.2">
      <c r="A225" t="str">
        <f>$A$57</f>
        <v>Architectural and related</v>
      </c>
      <c r="B225" s="17">
        <f t="shared" si="44"/>
        <v>-1.9279053609555508</v>
      </c>
      <c r="C225" s="17">
        <f t="shared" si="44"/>
        <v>-5.8577745991330481</v>
      </c>
      <c r="D225" s="17">
        <f t="shared" ref="D225:E225" si="57">IF(AND(E$3-D$3 &lt;&gt; 0,D57&lt;&gt;0,E57&lt;&gt;0),(EXP(LN(E57/D57)/(E$3-D$3))-1)*100,0)</f>
        <v>-0.12048686601116021</v>
      </c>
      <c r="E225" s="17">
        <f t="shared" si="57"/>
        <v>0.47447684487769148</v>
      </c>
      <c r="F225" s="17">
        <f t="shared" si="42"/>
        <v>0.27576285925583477</v>
      </c>
    </row>
    <row r="226" spans="1:6" x14ac:dyDescent="0.2">
      <c r="A226" t="str">
        <f>$A$58</f>
        <v>Scientific research and development</v>
      </c>
      <c r="B226" s="17">
        <f t="shared" si="44"/>
        <v>3.0627657106172324</v>
      </c>
      <c r="C226" s="17">
        <f t="shared" si="44"/>
        <v>-11.694994542814197</v>
      </c>
      <c r="D226" s="17">
        <f t="shared" ref="D226:E226" si="58">IF(AND(E$3-D$3 &lt;&gt; 0,D58&lt;&gt;0,E58&lt;&gt;0),(EXP(LN(E58/D58)/(E$3-D$3))-1)*100,0)</f>
        <v>3.6247521720047526</v>
      </c>
      <c r="E226" s="17">
        <f t="shared" si="58"/>
        <v>1.9058426110978077</v>
      </c>
      <c r="F226" s="17">
        <f t="shared" si="42"/>
        <v>2.4756207712881784</v>
      </c>
    </row>
    <row r="227" spans="1:6" x14ac:dyDescent="0.2">
      <c r="A227" t="str">
        <f>$A$59</f>
        <v>Advertising, etc</v>
      </c>
      <c r="B227" s="17">
        <f t="shared" si="44"/>
        <v>3.5111013576463179</v>
      </c>
      <c r="C227" s="17">
        <f t="shared" si="44"/>
        <v>0.46827440845371715</v>
      </c>
      <c r="D227" s="17">
        <f t="shared" ref="D227:E227" si="59">IF(AND(E$3-D$3 &lt;&gt; 0,D59&lt;&gt;0,E59&lt;&gt;0),(EXP(LN(E59/D59)/(E$3-D$3))-1)*100,0)</f>
        <v>3.6793309273555508</v>
      </c>
      <c r="E227" s="17">
        <f t="shared" si="59"/>
        <v>2.0084978687722854</v>
      </c>
      <c r="F227" s="17">
        <f t="shared" si="42"/>
        <v>2.5624287974145288</v>
      </c>
    </row>
    <row r="228" spans="1:6" x14ac:dyDescent="0.2">
      <c r="A228" t="str">
        <f>$A$60</f>
        <v>Other professional</v>
      </c>
      <c r="B228" s="17">
        <f t="shared" si="44"/>
        <v>-0.11366564529000645</v>
      </c>
      <c r="C228" s="17">
        <f t="shared" si="44"/>
        <v>-3.4121655478821178</v>
      </c>
      <c r="D228" s="17">
        <f t="shared" ref="D228:E228" si="60">IF(AND(E$3-D$3 &lt;&gt; 0,D60&lt;&gt;0,E60&lt;&gt;0),(EXP(LN(E60/D60)/(E$3-D$3))-1)*100,0)</f>
        <v>3.6559172546839491</v>
      </c>
      <c r="E228" s="17">
        <f t="shared" si="60"/>
        <v>1.9466384903572553</v>
      </c>
      <c r="F228" s="17">
        <f t="shared" si="42"/>
        <v>2.5132431378282583</v>
      </c>
    </row>
    <row r="229" spans="1:6" x14ac:dyDescent="0.2">
      <c r="A229" t="str">
        <f>$A$61</f>
        <v>Veterinary</v>
      </c>
      <c r="B229" s="17">
        <f t="shared" si="44"/>
        <v>-3.3687103196725632</v>
      </c>
      <c r="C229" s="17">
        <f t="shared" si="44"/>
        <v>7.9359398804710102</v>
      </c>
      <c r="D229" s="17">
        <f t="shared" ref="D229:E229" si="61">IF(AND(E$3-D$3 &lt;&gt; 0,D61&lt;&gt;0,E61&lt;&gt;0),(EXP(LN(E61/D61)/(E$3-D$3))-1)*100,0)</f>
        <v>3.7569642377682788</v>
      </c>
      <c r="E229" s="17">
        <f t="shared" si="61"/>
        <v>2.0970889454795749</v>
      </c>
      <c r="F229" s="17">
        <f t="shared" si="42"/>
        <v>2.6474090638903824</v>
      </c>
    </row>
    <row r="230" spans="1:6" x14ac:dyDescent="0.2">
      <c r="A230" t="str">
        <f>$A$62</f>
        <v>Rental and leasing</v>
      </c>
      <c r="B230" s="17">
        <f t="shared" si="44"/>
        <v>1.1626884438085128</v>
      </c>
      <c r="C230" s="17">
        <f t="shared" si="44"/>
        <v>-0.52575488435666617</v>
      </c>
      <c r="D230" s="17">
        <f t="shared" ref="D230:E230" si="62">IF(AND(E$3-D$3 &lt;&gt; 0,D62&lt;&gt;0,E62&lt;&gt;0),(EXP(LN(E62/D62)/(E$3-D$3))-1)*100,0)</f>
        <v>2.0971608494399829</v>
      </c>
      <c r="E230" s="17">
        <f t="shared" si="62"/>
        <v>0.94867289195874616</v>
      </c>
      <c r="F230" s="17">
        <f t="shared" si="42"/>
        <v>1.3300595083526545</v>
      </c>
    </row>
    <row r="231" spans="1:6" x14ac:dyDescent="0.2">
      <c r="A231" t="str">
        <f>$A$63</f>
        <v>Employment activities</v>
      </c>
      <c r="B231" s="17">
        <f t="shared" si="44"/>
        <v>2.1558329030700207</v>
      </c>
      <c r="C231" s="17">
        <f t="shared" si="44"/>
        <v>-2.3945152268731396</v>
      </c>
      <c r="D231" s="17">
        <f t="shared" ref="D231:E231" si="63">IF(AND(E$3-D$3 &lt;&gt; 0,D63&lt;&gt;0,E63&lt;&gt;0),(EXP(LN(E63/D63)/(E$3-D$3))-1)*100,0)</f>
        <v>2.0644823157041747</v>
      </c>
      <c r="E231" s="17">
        <f t="shared" si="63"/>
        <v>0.92274190507082299</v>
      </c>
      <c r="F231" s="17">
        <f t="shared" si="42"/>
        <v>1.3018958250348156</v>
      </c>
    </row>
    <row r="232" spans="1:6" x14ac:dyDescent="0.2">
      <c r="A232" t="str">
        <f>$A$64</f>
        <v>Travel, etc</v>
      </c>
      <c r="B232" s="17">
        <f t="shared" si="44"/>
        <v>-9.1668889006421121</v>
      </c>
      <c r="C232" s="17">
        <f t="shared" si="44"/>
        <v>-1.8964110936434131</v>
      </c>
      <c r="D232" s="17">
        <f t="shared" ref="D232:E232" si="64">IF(AND(E$3-D$3 &lt;&gt; 0,D64&lt;&gt;0,E64&lt;&gt;0),(EXP(LN(E64/D64)/(E$3-D$3))-1)*100,0)</f>
        <v>2.0738898190337363</v>
      </c>
      <c r="E232" s="17">
        <f t="shared" si="64"/>
        <v>0.93508232002710301</v>
      </c>
      <c r="F232" s="17">
        <f t="shared" si="42"/>
        <v>1.3132660704169075</v>
      </c>
    </row>
    <row r="233" spans="1:6" x14ac:dyDescent="0.2">
      <c r="A233" t="str">
        <f>$A$65</f>
        <v>Security, etc</v>
      </c>
      <c r="B233" s="17">
        <f t="shared" si="44"/>
        <v>3.1208514683238153</v>
      </c>
      <c r="C233" s="17">
        <f t="shared" si="44"/>
        <v>-1.6268260292651604</v>
      </c>
      <c r="D233" s="17">
        <f t="shared" ref="D233:E233" si="65">IF(AND(E$3-D$3 &lt;&gt; 0,D65&lt;&gt;0,E65&lt;&gt;0),(EXP(LN(E65/D65)/(E$3-D$3))-1)*100,0)</f>
        <v>2.0822343983416092</v>
      </c>
      <c r="E233" s="17">
        <f t="shared" si="65"/>
        <v>0.93455405567779426</v>
      </c>
      <c r="F233" s="17">
        <f t="shared" si="42"/>
        <v>1.3156732888222722</v>
      </c>
    </row>
    <row r="234" spans="1:6" x14ac:dyDescent="0.2">
      <c r="A234" t="str">
        <f>$A$66</f>
        <v>Services to buildings</v>
      </c>
      <c r="B234" s="17">
        <f t="shared" si="44"/>
        <v>2.3651812594008392</v>
      </c>
      <c r="C234" s="17">
        <f t="shared" si="44"/>
        <v>-6.1327771314238833</v>
      </c>
      <c r="D234" s="17">
        <f t="shared" ref="D234:E234" si="66">IF(AND(E$3-D$3 &lt;&gt; 0,D66&lt;&gt;0,E66&lt;&gt;0),(EXP(LN(E66/D66)/(E$3-D$3))-1)*100,0)</f>
        <v>1.9864984550824527</v>
      </c>
      <c r="E234" s="17">
        <f t="shared" si="66"/>
        <v>0.85105234714448752</v>
      </c>
      <c r="F234" s="17">
        <f t="shared" si="42"/>
        <v>1.2281228031123748</v>
      </c>
    </row>
    <row r="235" spans="1:6" x14ac:dyDescent="0.2">
      <c r="A235" t="str">
        <f>$A$67</f>
        <v>Office administrative</v>
      </c>
      <c r="B235" s="17">
        <f t="shared" si="44"/>
        <v>-4.3787603364885186</v>
      </c>
      <c r="C235" s="17">
        <f t="shared" si="44"/>
        <v>-1.850294365255889</v>
      </c>
      <c r="D235" s="17">
        <f t="shared" ref="D235:E235" si="67">IF(AND(E$3-D$3 &lt;&gt; 0,D67&lt;&gt;0,E67&lt;&gt;0),(EXP(LN(E67/D67)/(E$3-D$3))-1)*100,0)</f>
        <v>2.0616945472220705</v>
      </c>
      <c r="E235" s="17">
        <f t="shared" si="67"/>
        <v>0.92990585228778233</v>
      </c>
      <c r="F235" s="17">
        <f t="shared" si="42"/>
        <v>1.3057673106648959</v>
      </c>
    </row>
    <row r="236" spans="1:6" x14ac:dyDescent="0.2">
      <c r="A236" t="str">
        <f>$A$68</f>
        <v>Public administration and defence</v>
      </c>
      <c r="B236" s="17">
        <f t="shared" si="44"/>
        <v>0.64598943737197434</v>
      </c>
      <c r="C236" s="17">
        <f t="shared" si="44"/>
        <v>6.0093649911356017</v>
      </c>
      <c r="D236" s="17">
        <f t="shared" ref="D236:E236" si="68">IF(AND(E$3-D$3 &lt;&gt; 0,D68&lt;&gt;0,E68&lt;&gt;0),(EXP(LN(E68/D68)/(E$3-D$3))-1)*100,0)</f>
        <v>1.0522254926687014</v>
      </c>
      <c r="E236" s="17">
        <f t="shared" si="68"/>
        <v>0.20139468545019579</v>
      </c>
      <c r="F236" s="17">
        <f t="shared" si="42"/>
        <v>0.48420598878411436</v>
      </c>
    </row>
    <row r="237" spans="1:6" x14ac:dyDescent="0.2">
      <c r="A237" t="str">
        <f>$A$69</f>
        <v xml:space="preserve">Education </v>
      </c>
      <c r="B237" s="17">
        <f t="shared" si="44"/>
        <v>1.1395686319794596</v>
      </c>
      <c r="C237" s="17">
        <f t="shared" si="44"/>
        <v>-3.9540350372046063</v>
      </c>
      <c r="D237" s="17">
        <f t="shared" ref="D237:E237" si="69">IF(AND(E$3-D$3 &lt;&gt; 0,D69&lt;&gt;0,E69&lt;&gt;0),(EXP(LN(E69/D69)/(E$3-D$3))-1)*100,0)</f>
        <v>0.41654784824647351</v>
      </c>
      <c r="E237" s="17">
        <f t="shared" si="69"/>
        <v>0.55734772305269242</v>
      </c>
      <c r="F237" s="17">
        <f t="shared" si="42"/>
        <v>0.51039250914470813</v>
      </c>
    </row>
    <row r="238" spans="1:6" x14ac:dyDescent="0.2">
      <c r="A238" t="str">
        <f>$A$70</f>
        <v>Health</v>
      </c>
      <c r="B238" s="17">
        <f t="shared" si="44"/>
        <v>1.5577073953172871</v>
      </c>
      <c r="C238" s="17">
        <f t="shared" si="44"/>
        <v>-1.3315190126388821</v>
      </c>
      <c r="D238" s="17">
        <f t="shared" ref="D238:E238" si="70">IF(AND(E$3-D$3 &lt;&gt; 0,D70&lt;&gt;0,E70&lt;&gt;0),(EXP(LN(E70/D70)/(E$3-D$3))-1)*100,0)</f>
        <v>2.2871196965505547</v>
      </c>
      <c r="E238" s="17">
        <f t="shared" si="70"/>
        <v>1.6432810869237313</v>
      </c>
      <c r="F238" s="17">
        <f t="shared" ref="F238:F249" si="71">IF(AND(F$3-D$3 &lt;&gt; 0,D70&lt;&gt;0,F70&lt;&gt;0),(EXP(LN(F70/D70)/(F$3-D$3))-1)*100,0)</f>
        <v>1.8574424042544502</v>
      </c>
    </row>
    <row r="239" spans="1:6" x14ac:dyDescent="0.2">
      <c r="A239" t="str">
        <f>$A$71</f>
        <v>Residential care</v>
      </c>
      <c r="B239" s="17">
        <f t="shared" ref="B239:C239" si="72">IF(AND(C$3-B$3 &lt;&gt; 0,B71&lt;&gt;0,C71&lt;&gt;0),(EXP(LN(C71/B71)/(C$3-B$3))-1)*100,0)</f>
        <v>-1.9683337781824184</v>
      </c>
      <c r="C239" s="17">
        <f t="shared" si="72"/>
        <v>-7.5495678689739272</v>
      </c>
      <c r="D239" s="17">
        <f t="shared" ref="D239:D247" si="73">IF(AND(E$3-D$3 &lt;&gt; 0,D71&lt;&gt;0,E71&lt;&gt;0),(EXP(LN(E71/D71)/(E$3-D$3))-1)*100,0)</f>
        <v>1.202775890741159</v>
      </c>
      <c r="E239" s="17">
        <f t="shared" ref="E239:E247" si="74">IF(AND(F$3-E$3 &lt;&gt; 0,E71&lt;&gt;0,F71&lt;&gt;0),(EXP(LN(F71/E71)/(F$3-E$3))-1)*100,0)</f>
        <v>0.61344337705666607</v>
      </c>
      <c r="F239" s="17">
        <f t="shared" si="71"/>
        <v>0.80950524128517998</v>
      </c>
    </row>
    <row r="240" spans="1:6" x14ac:dyDescent="0.2">
      <c r="A240" t="str">
        <f>$A$72</f>
        <v>Social work</v>
      </c>
      <c r="B240" s="17">
        <f t="shared" ref="B240:C240" si="75">IF(AND(C$3-B$3 &lt;&gt; 0,B72&lt;&gt;0,C72&lt;&gt;0),(EXP(LN(C72/B72)/(C$3-B$3))-1)*100,0)</f>
        <v>-2.7085831984529407</v>
      </c>
      <c r="C240" s="17">
        <f t="shared" si="75"/>
        <v>-7.7647399673380635</v>
      </c>
      <c r="D240" s="17">
        <f t="shared" si="73"/>
        <v>1.0687381767583881</v>
      </c>
      <c r="E240" s="17">
        <f t="shared" si="74"/>
        <v>0.47783410218533717</v>
      </c>
      <c r="F240" s="17">
        <f t="shared" si="71"/>
        <v>0.67441726462216245</v>
      </c>
    </row>
    <row r="241" spans="1:6" x14ac:dyDescent="0.2">
      <c r="A241" t="str">
        <f>$A$73</f>
        <v>Arts and entertainment</v>
      </c>
      <c r="B241" s="17">
        <f t="shared" ref="B241:C241" si="76">IF(AND(C$3-B$3 &lt;&gt; 0,B73&lt;&gt;0,C73&lt;&gt;0),(EXP(LN(C73/B73)/(C$3-B$3))-1)*100,0)</f>
        <v>4.765896233226119</v>
      </c>
      <c r="C241" s="17">
        <f t="shared" si="76"/>
        <v>-8.2732286810125792</v>
      </c>
      <c r="D241" s="17">
        <f t="shared" si="73"/>
        <v>2.6273107387948968</v>
      </c>
      <c r="E241" s="17">
        <f t="shared" si="74"/>
        <v>0.94783464448509047</v>
      </c>
      <c r="F241" s="17">
        <f t="shared" si="71"/>
        <v>1.5045837724800393</v>
      </c>
    </row>
    <row r="242" spans="1:6" x14ac:dyDescent="0.2">
      <c r="A242" t="str">
        <f>$A$74</f>
        <v>Libraries, etc</v>
      </c>
      <c r="B242" s="17">
        <f t="shared" ref="B242:C242" si="77">IF(AND(C$3-B$3 &lt;&gt; 0,B74&lt;&gt;0,C74&lt;&gt;0),(EXP(LN(C74/B74)/(C$3-B$3))-1)*100,0)</f>
        <v>-4.3226320321820282</v>
      </c>
      <c r="C242" s="17">
        <f t="shared" si="77"/>
        <v>-9.0673094756759109</v>
      </c>
      <c r="D242" s="17">
        <f t="shared" si="73"/>
        <v>2.6458007850087117</v>
      </c>
      <c r="E242" s="17">
        <f t="shared" si="74"/>
        <v>0.94812806369306557</v>
      </c>
      <c r="F242" s="17">
        <f t="shared" si="71"/>
        <v>1.5108760324432202</v>
      </c>
    </row>
    <row r="243" spans="1:6" x14ac:dyDescent="0.2">
      <c r="A243" t="str">
        <f>$A$75</f>
        <v>Gambling and betting</v>
      </c>
      <c r="B243" s="17">
        <f t="shared" ref="B243:C243" si="78">IF(AND(C$3-B$3 &lt;&gt; 0,B75&lt;&gt;0,C75&lt;&gt;0),(EXP(LN(C75/B75)/(C$3-B$3))-1)*100,0)</f>
        <v>-0.79014499794456405</v>
      </c>
      <c r="C243" s="17">
        <f t="shared" si="78"/>
        <v>-9.6905688345948597</v>
      </c>
      <c r="D243" s="17">
        <f t="shared" si="73"/>
        <v>3.4793122190033721</v>
      </c>
      <c r="E243" s="17">
        <f t="shared" si="74"/>
        <v>1.6794314847772052</v>
      </c>
      <c r="F243" s="17">
        <f t="shared" si="71"/>
        <v>2.2758860677205783</v>
      </c>
    </row>
    <row r="244" spans="1:6" x14ac:dyDescent="0.2">
      <c r="A244" t="str">
        <f>$A$76</f>
        <v>Sport and recreation</v>
      </c>
      <c r="B244" s="17">
        <f t="shared" ref="B244:C244" si="79">IF(AND(C$3-B$3 &lt;&gt; 0,B76&lt;&gt;0,C76&lt;&gt;0),(EXP(LN(C76/B76)/(C$3-B$3))-1)*100,0)</f>
        <v>3.7768969522780083</v>
      </c>
      <c r="C244" s="17">
        <f t="shared" si="79"/>
        <v>-10.152210853716914</v>
      </c>
      <c r="D244" s="17">
        <f t="shared" si="73"/>
        <v>3.4616139254317835</v>
      </c>
      <c r="E244" s="17">
        <f t="shared" si="74"/>
        <v>1.6524139294817441</v>
      </c>
      <c r="F244" s="17">
        <f t="shared" si="71"/>
        <v>2.2519377821189401</v>
      </c>
    </row>
    <row r="245" spans="1:6" x14ac:dyDescent="0.2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1.8963489657242594</v>
      </c>
      <c r="C245" s="17">
        <f t="shared" si="80"/>
        <v>-11.217337669929538</v>
      </c>
      <c r="D245" s="17">
        <f t="shared" si="73"/>
        <v>0.61326736187496955</v>
      </c>
      <c r="E245" s="17">
        <f t="shared" si="74"/>
        <v>0.17352388246996142</v>
      </c>
      <c r="F245" s="17">
        <f t="shared" si="71"/>
        <v>0.31989107566088304</v>
      </c>
    </row>
    <row r="246" spans="1:6" x14ac:dyDescent="0.2">
      <c r="A246" t="str">
        <f>$A$78</f>
        <v>Repair of goods</v>
      </c>
      <c r="B246" s="17">
        <f t="shared" ref="B246:C246" si="81">IF(AND(C$3-B$3 &lt;&gt; 0,B78&lt;&gt;0,C78&lt;&gt;0),(EXP(LN(C78/B78)/(C$3-B$3))-1)*100,0)</f>
        <v>12.772042266097694</v>
      </c>
      <c r="C246" s="17">
        <f t="shared" si="81"/>
        <v>8.5877614645335285</v>
      </c>
      <c r="D246" s="17">
        <f t="shared" si="73"/>
        <v>1.1573909462477161</v>
      </c>
      <c r="E246" s="17">
        <f t="shared" si="74"/>
        <v>0.49487585179193161</v>
      </c>
      <c r="F246" s="17">
        <f t="shared" si="71"/>
        <v>0.71523069200376543</v>
      </c>
    </row>
    <row r="247" spans="1:6" x14ac:dyDescent="0.2">
      <c r="A247" t="str">
        <f>$A$79</f>
        <v>Other personal service</v>
      </c>
      <c r="B247" s="17">
        <f>IF(AND(C$3-B$3 &lt;&gt; 0,B79&lt;&gt;0,C79&lt;&gt;0),(EXP(LN(C79/B79)/(C$3-B$3))-1)*100,0)</f>
        <v>3.6111606514532824</v>
      </c>
      <c r="C247" s="17">
        <f t="shared" ref="C247" si="82">IF(AND(D$3-C$3 &lt;&gt; 0,C79&lt;&gt;0,D79&lt;&gt;0),(EXP(LN(D79/C79)/(D$3-C$3))-1)*100,0)</f>
        <v>-7.6146247986200848</v>
      </c>
      <c r="D247" s="17">
        <f t="shared" si="73"/>
        <v>0.72248289047560643</v>
      </c>
      <c r="E247" s="17">
        <f t="shared" si="74"/>
        <v>0.26267110484015088</v>
      </c>
      <c r="F247" s="17">
        <f t="shared" si="71"/>
        <v>0.41570799188854757</v>
      </c>
    </row>
    <row r="248" spans="1:6" x14ac:dyDescent="0.2">
      <c r="B248" s="17"/>
      <c r="C248" s="17"/>
      <c r="D248" s="17"/>
      <c r="E248" s="17"/>
      <c r="F248" s="17"/>
    </row>
    <row r="249" spans="1:6" x14ac:dyDescent="0.2">
      <c r="A249" s="23" t="str">
        <f>$A$81</f>
        <v>All industries</v>
      </c>
      <c r="B249" s="25">
        <f>IF(AND(C$3-B$3 &lt;&gt; 0,B81&lt;&gt;0,C81&lt;&gt;0),(EXP(LN(C81/B81)/(C$3-B$3))-1)*100,0)</f>
        <v>1.2559705559315626</v>
      </c>
      <c r="C249" s="25">
        <f t="shared" ref="C249" si="83">IF(AND(D$3-C$3 &lt;&gt; 0,C81&lt;&gt;0,D81&lt;&gt;0),(EXP(LN(D81/C81)/(D$3-C$3))-1)*100,0)</f>
        <v>-1.097867160206889</v>
      </c>
      <c r="D249" s="25">
        <f>IF(AND(E$3-D$3 &lt;&gt; 0,D81&lt;&gt;0,E81&lt;&gt;0),(EXP(LN(E81/D81)/(E$3-D$3))-1)*100,0)</f>
        <v>0.86600469906554789</v>
      </c>
      <c r="E249" s="25">
        <f>IF(AND(F$3-E$3 &lt;&gt; 0,E81&lt;&gt;0,F81&lt;&gt;0),(EXP(LN(F81/E81)/(F$3-E$3))-1)*100,0)</f>
        <v>0.57793117804305627</v>
      </c>
      <c r="F249" s="25">
        <f t="shared" si="71"/>
        <v>0.6738641534223655</v>
      </c>
    </row>
    <row r="253" spans="1:6" ht="15.75" x14ac:dyDescent="0.25">
      <c r="A253" s="18" t="str">
        <f>CONCATENATE($A$1," (Continued)")</f>
        <v>Industry Table 3  Employment by Industry (SIC 2007), 2015-2035, South West (Continued)</v>
      </c>
    </row>
    <row r="255" spans="1:6" x14ac:dyDescent="0.2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2">
      <c r="A256" s="27" t="s">
        <v>15</v>
      </c>
    </row>
    <row r="257" spans="1:6" x14ac:dyDescent="0.2">
      <c r="A257" t="str">
        <f>$A$5</f>
        <v>Agriculture, etc</v>
      </c>
      <c r="B257" s="26">
        <f t="shared" ref="B257:E276" si="84">C5-B5</f>
        <v>-3.9999999576473044E-2</v>
      </c>
      <c r="C257" s="26">
        <f t="shared" si="84"/>
        <v>10.617999999635437</v>
      </c>
      <c r="D257" s="26">
        <f t="shared" si="84"/>
        <v>2.0529999995664951</v>
      </c>
      <c r="E257" s="26">
        <f t="shared" si="84"/>
        <v>1.672999999660739</v>
      </c>
      <c r="F257" s="26">
        <f>F5-D5</f>
        <v>3.7259999992272341</v>
      </c>
    </row>
    <row r="258" spans="1:6" x14ac:dyDescent="0.2">
      <c r="A258" t="str">
        <f>$A$6</f>
        <v>Coal, oil &amp; gas; Mining &amp; related</v>
      </c>
      <c r="B258" s="26">
        <f t="shared" si="84"/>
        <v>-1.2049999999902212</v>
      </c>
      <c r="C258" s="26">
        <f t="shared" si="84"/>
        <v>4.6000000013961984E-2</v>
      </c>
      <c r="D258" s="26">
        <f t="shared" si="84"/>
        <v>-0.78099999998946013</v>
      </c>
      <c r="E258" s="26">
        <f t="shared" si="84"/>
        <v>-0.84600000000308939</v>
      </c>
      <c r="F258" s="26">
        <f t="shared" ref="F258:F321" si="85">F6-D6</f>
        <v>-1.6269999999925495</v>
      </c>
    </row>
    <row r="259" spans="1:6" x14ac:dyDescent="0.2">
      <c r="A259" t="str">
        <f>$A$7</f>
        <v>Food products</v>
      </c>
      <c r="B259" s="26">
        <f t="shared" si="84"/>
        <v>-1.4989999998145542</v>
      </c>
      <c r="C259" s="26">
        <f t="shared" si="84"/>
        <v>0.58100000004914776</v>
      </c>
      <c r="D259" s="26">
        <f t="shared" si="84"/>
        <v>-2.0349999996464554</v>
      </c>
      <c r="E259" s="26">
        <f t="shared" si="84"/>
        <v>-4.792000000403128</v>
      </c>
      <c r="F259" s="26">
        <f t="shared" si="85"/>
        <v>-6.8270000000495834</v>
      </c>
    </row>
    <row r="260" spans="1:6" x14ac:dyDescent="0.2">
      <c r="A260" t="str">
        <f>$A$8</f>
        <v>Beverages and tobacco</v>
      </c>
      <c r="B260" s="26">
        <f t="shared" si="84"/>
        <v>1.0380000000211309</v>
      </c>
      <c r="C260" s="26">
        <f t="shared" si="84"/>
        <v>0.14000000000218371</v>
      </c>
      <c r="D260" s="26">
        <f t="shared" si="84"/>
        <v>-0.31699999993515071</v>
      </c>
      <c r="E260" s="26">
        <f t="shared" si="84"/>
        <v>-0.78600000007476378</v>
      </c>
      <c r="F260" s="26">
        <f t="shared" si="85"/>
        <v>-1.1030000000099145</v>
      </c>
    </row>
    <row r="261" spans="1:6" x14ac:dyDescent="0.2">
      <c r="A261" t="str">
        <f>$A$9</f>
        <v>Textiles</v>
      </c>
      <c r="B261" s="26">
        <f t="shared" si="84"/>
        <v>-1.4589999999915482</v>
      </c>
      <c r="C261" s="26">
        <f t="shared" si="84"/>
        <v>0.21499999998447716</v>
      </c>
      <c r="D261" s="26">
        <f t="shared" si="84"/>
        <v>-0.27999999997522562</v>
      </c>
      <c r="E261" s="26">
        <f t="shared" si="84"/>
        <v>-0.28900000001268245</v>
      </c>
      <c r="F261" s="26">
        <f t="shared" si="85"/>
        <v>-0.56899999998790807</v>
      </c>
    </row>
    <row r="262" spans="1:6" x14ac:dyDescent="0.2">
      <c r="A262" t="str">
        <f>$A$10</f>
        <v>Wearing apparel; Leather, etc</v>
      </c>
      <c r="B262" s="26">
        <f t="shared" si="84"/>
        <v>8.2000000018697339E-2</v>
      </c>
      <c r="C262" s="26">
        <f t="shared" si="84"/>
        <v>0.34999999997910614</v>
      </c>
      <c r="D262" s="26">
        <f t="shared" si="84"/>
        <v>-0.48400000000153964</v>
      </c>
      <c r="E262" s="26">
        <f t="shared" si="84"/>
        <v>-0.49899999997652955</v>
      </c>
      <c r="F262" s="26">
        <f t="shared" si="85"/>
        <v>-0.98299999997806919</v>
      </c>
    </row>
    <row r="263" spans="1:6" x14ac:dyDescent="0.2">
      <c r="A263" t="str">
        <f>$A$11</f>
        <v xml:space="preserve">Wood and cork </v>
      </c>
      <c r="B263" s="26">
        <f t="shared" si="84"/>
        <v>-2.2299999999907474</v>
      </c>
      <c r="C263" s="26">
        <f t="shared" si="84"/>
        <v>0.28800000000131654</v>
      </c>
      <c r="D263" s="26">
        <f t="shared" si="84"/>
        <v>0.26200000000126611</v>
      </c>
      <c r="E263" s="26">
        <f t="shared" si="84"/>
        <v>-0.19799999997436668</v>
      </c>
      <c r="F263" s="26">
        <f t="shared" si="85"/>
        <v>6.4000000026899428E-2</v>
      </c>
    </row>
    <row r="264" spans="1:6" x14ac:dyDescent="0.2">
      <c r="A264" t="str">
        <f>$A$12</f>
        <v>Paper, etc</v>
      </c>
      <c r="B264" s="26">
        <f t="shared" si="84"/>
        <v>-0.53800000000673975</v>
      </c>
      <c r="C264" s="26">
        <f t="shared" si="84"/>
        <v>-0.39699999998994118</v>
      </c>
      <c r="D264" s="26">
        <f t="shared" si="84"/>
        <v>0.27100000002177493</v>
      </c>
      <c r="E264" s="26">
        <f t="shared" si="84"/>
        <v>-0.14699999999706392</v>
      </c>
      <c r="F264" s="26">
        <f t="shared" si="85"/>
        <v>0.12400000002471101</v>
      </c>
    </row>
    <row r="265" spans="1:6" x14ac:dyDescent="0.2">
      <c r="A265" t="str">
        <f>$A$13</f>
        <v>Printing and recording</v>
      </c>
      <c r="B265" s="26">
        <f t="shared" si="84"/>
        <v>0.79899999996445636</v>
      </c>
      <c r="C265" s="26">
        <f t="shared" si="84"/>
        <v>0.11899999999350896</v>
      </c>
      <c r="D265" s="26">
        <f t="shared" si="84"/>
        <v>-0.84399999993146757</v>
      </c>
      <c r="E265" s="26">
        <f t="shared" si="84"/>
        <v>-1.6199999999883001</v>
      </c>
      <c r="F265" s="26">
        <f t="shared" si="85"/>
        <v>-2.4639999999197677</v>
      </c>
    </row>
    <row r="266" spans="1:6" x14ac:dyDescent="0.2">
      <c r="A266" t="str">
        <f>$A$14</f>
        <v>Coke and petroleum; Chemicals, etc</v>
      </c>
      <c r="B266" s="26">
        <f t="shared" si="84"/>
        <v>2.0829999999931843</v>
      </c>
      <c r="C266" s="26">
        <f t="shared" si="84"/>
        <v>0.12999999998154887</v>
      </c>
      <c r="D266" s="26">
        <f t="shared" si="84"/>
        <v>0.65300000009492276</v>
      </c>
      <c r="E266" s="26">
        <f t="shared" si="84"/>
        <v>0.67099999994745296</v>
      </c>
      <c r="F266" s="26">
        <f t="shared" si="85"/>
        <v>1.3240000000423757</v>
      </c>
    </row>
    <row r="267" spans="1:6" x14ac:dyDescent="0.2">
      <c r="A267" t="str">
        <f>$A$15</f>
        <v>Pharmaceuticals</v>
      </c>
      <c r="B267" s="26">
        <f t="shared" si="84"/>
        <v>2.4299999999853839</v>
      </c>
      <c r="C267" s="26">
        <f t="shared" si="84"/>
        <v>9.9999999986396304E-2</v>
      </c>
      <c r="D267" s="26">
        <f t="shared" si="84"/>
        <v>0.76600000003386004</v>
      </c>
      <c r="E267" s="26">
        <f t="shared" si="84"/>
        <v>0.12899999999557821</v>
      </c>
      <c r="F267" s="26">
        <f t="shared" si="85"/>
        <v>0.89500000002943825</v>
      </c>
    </row>
    <row r="268" spans="1:6" x14ac:dyDescent="0.2">
      <c r="A268" t="str">
        <f>$A$16</f>
        <v>Rubber and plastic</v>
      </c>
      <c r="B268" s="26">
        <f t="shared" si="84"/>
        <v>-2.5969999999882614</v>
      </c>
      <c r="C268" s="26">
        <f t="shared" si="84"/>
        <v>0.72400000003257148</v>
      </c>
      <c r="D268" s="26">
        <f t="shared" si="84"/>
        <v>0.13800000009485025</v>
      </c>
      <c r="E268" s="26">
        <f t="shared" si="84"/>
        <v>-1.3120000000500269</v>
      </c>
      <c r="F268" s="26">
        <f t="shared" si="85"/>
        <v>-1.1739999999551767</v>
      </c>
    </row>
    <row r="269" spans="1:6" x14ac:dyDescent="0.2">
      <c r="A269" t="str">
        <f>$A$17</f>
        <v>Other non-metallic</v>
      </c>
      <c r="B269" s="26">
        <f t="shared" si="84"/>
        <v>1.3170000000261242</v>
      </c>
      <c r="C269" s="26">
        <f t="shared" si="84"/>
        <v>-0.18799999999575423</v>
      </c>
      <c r="D269" s="26">
        <f t="shared" si="84"/>
        <v>6.2000000049110326E-2</v>
      </c>
      <c r="E269" s="26">
        <f t="shared" si="84"/>
        <v>-0.52700000003768555</v>
      </c>
      <c r="F269" s="26">
        <f t="shared" si="85"/>
        <v>-0.46499999998857522</v>
      </c>
    </row>
    <row r="270" spans="1:6" x14ac:dyDescent="0.2">
      <c r="A270" t="str">
        <f>$A$18</f>
        <v>Basic metals</v>
      </c>
      <c r="B270" s="26">
        <f t="shared" si="84"/>
        <v>0.59000000000026898</v>
      </c>
      <c r="C270" s="26">
        <f t="shared" si="84"/>
        <v>-0.33099999999438179</v>
      </c>
      <c r="D270" s="26">
        <f t="shared" si="84"/>
        <v>-0.1579999999956212</v>
      </c>
      <c r="E270" s="26">
        <f t="shared" si="84"/>
        <v>-0.30899999999499217</v>
      </c>
      <c r="F270" s="26">
        <f t="shared" si="85"/>
        <v>-0.46699999999061337</v>
      </c>
    </row>
    <row r="271" spans="1:6" x14ac:dyDescent="0.2">
      <c r="A271" t="str">
        <f>$A$19</f>
        <v>Metal products</v>
      </c>
      <c r="B271" s="26">
        <f t="shared" si="84"/>
        <v>2.8910000000524967</v>
      </c>
      <c r="C271" s="26">
        <f t="shared" si="84"/>
        <v>-2.4549999999721734</v>
      </c>
      <c r="D271" s="26">
        <f t="shared" si="84"/>
        <v>-1.515999999873717</v>
      </c>
      <c r="E271" s="26">
        <f t="shared" si="84"/>
        <v>-2.9650000000262828</v>
      </c>
      <c r="F271" s="26">
        <f t="shared" si="85"/>
        <v>-4.4809999998999999</v>
      </c>
    </row>
    <row r="272" spans="1:6" x14ac:dyDescent="0.2">
      <c r="A272" t="str">
        <f>$A$20</f>
        <v>Computer, etc</v>
      </c>
      <c r="B272" s="26">
        <f t="shared" si="84"/>
        <v>0.69899999999548612</v>
      </c>
      <c r="C272" s="26">
        <f t="shared" si="84"/>
        <v>0.52200000001462321</v>
      </c>
      <c r="D272" s="26">
        <f t="shared" si="84"/>
        <v>-0.21299999982239903</v>
      </c>
      <c r="E272" s="26">
        <f t="shared" si="84"/>
        <v>-3.7120000000788007</v>
      </c>
      <c r="F272" s="26">
        <f t="shared" si="85"/>
        <v>-3.9249999999011997</v>
      </c>
    </row>
    <row r="273" spans="1:6" x14ac:dyDescent="0.2">
      <c r="A273" t="str">
        <f>$A$21</f>
        <v>Electrical equipment</v>
      </c>
      <c r="B273" s="26">
        <f t="shared" si="84"/>
        <v>-1.530999999948202</v>
      </c>
      <c r="C273" s="26">
        <f t="shared" si="84"/>
        <v>-0.72200000001418907</v>
      </c>
      <c r="D273" s="26">
        <f t="shared" si="84"/>
        <v>-0.41499999990328185</v>
      </c>
      <c r="E273" s="26">
        <f t="shared" si="84"/>
        <v>-0.40600000005685644</v>
      </c>
      <c r="F273" s="26">
        <f t="shared" si="85"/>
        <v>-0.82099999996013828</v>
      </c>
    </row>
    <row r="274" spans="1:6" x14ac:dyDescent="0.2">
      <c r="A274" t="str">
        <f>$A$22</f>
        <v>Machinery n.e.c.</v>
      </c>
      <c r="B274" s="26">
        <f t="shared" si="84"/>
        <v>0.34000000006288644</v>
      </c>
      <c r="C274" s="26">
        <f t="shared" si="84"/>
        <v>-0.90500000001008019</v>
      </c>
      <c r="D274" s="26">
        <f t="shared" si="84"/>
        <v>-0.93099999987683191</v>
      </c>
      <c r="E274" s="26">
        <f t="shared" si="84"/>
        <v>-2.6770000000328871</v>
      </c>
      <c r="F274" s="26">
        <f t="shared" si="85"/>
        <v>-3.607999999909719</v>
      </c>
    </row>
    <row r="275" spans="1:6" x14ac:dyDescent="0.2">
      <c r="A275" t="str">
        <f>$A$23</f>
        <v>Motor vehicles, etc</v>
      </c>
      <c r="B275" s="26">
        <f t="shared" si="84"/>
        <v>-0.35399999998819176</v>
      </c>
      <c r="C275" s="26">
        <f t="shared" si="84"/>
        <v>-0.45399999997808571</v>
      </c>
      <c r="D275" s="26">
        <f t="shared" si="84"/>
        <v>-0.15499999995405123</v>
      </c>
      <c r="E275" s="26">
        <f t="shared" si="84"/>
        <v>-0.97900000001421539</v>
      </c>
      <c r="F275" s="26">
        <f t="shared" si="85"/>
        <v>-1.1339999999682666</v>
      </c>
    </row>
    <row r="276" spans="1:6" x14ac:dyDescent="0.2">
      <c r="A276" t="str">
        <f>$A$24</f>
        <v>Other transport equipment</v>
      </c>
      <c r="B276" s="26">
        <f t="shared" si="84"/>
        <v>1.2230000000698951</v>
      </c>
      <c r="C276" s="26">
        <f t="shared" si="84"/>
        <v>0.82700000001250373</v>
      </c>
      <c r="D276" s="26">
        <f t="shared" si="84"/>
        <v>-3.326999999857307</v>
      </c>
      <c r="E276" s="26">
        <f t="shared" si="84"/>
        <v>4.0799999999707808</v>
      </c>
      <c r="F276" s="26">
        <f t="shared" si="85"/>
        <v>0.75300000011347379</v>
      </c>
    </row>
    <row r="277" spans="1:6" x14ac:dyDescent="0.2">
      <c r="A277" t="str">
        <f>$A$25</f>
        <v>Furniture</v>
      </c>
      <c r="B277" s="26">
        <f t="shared" ref="B277:E296" si="86">C25-B25</f>
        <v>-2.0329999999745727</v>
      </c>
      <c r="C277" s="26">
        <f t="shared" si="86"/>
        <v>0.22400000001966891</v>
      </c>
      <c r="D277" s="26">
        <f t="shared" si="86"/>
        <v>-0.60399999997272502</v>
      </c>
      <c r="E277" s="26">
        <f t="shared" si="86"/>
        <v>9.4999999995140527E-2</v>
      </c>
      <c r="F277" s="26">
        <f t="shared" si="85"/>
        <v>-0.50899999997758449</v>
      </c>
    </row>
    <row r="278" spans="1:6" x14ac:dyDescent="0.2">
      <c r="A278" t="str">
        <f>$A$26</f>
        <v>Other manufacturing</v>
      </c>
      <c r="B278" s="26">
        <f t="shared" si="86"/>
        <v>10.018000000072227</v>
      </c>
      <c r="C278" s="26">
        <f t="shared" si="86"/>
        <v>0.76999999998345103</v>
      </c>
      <c r="D278" s="26">
        <f t="shared" si="86"/>
        <v>-1.7929999998176918</v>
      </c>
      <c r="E278" s="26">
        <f t="shared" si="86"/>
        <v>0.23399999981969088</v>
      </c>
      <c r="F278" s="26">
        <f t="shared" si="85"/>
        <v>-1.5589999999980009</v>
      </c>
    </row>
    <row r="279" spans="1:6" x14ac:dyDescent="0.2">
      <c r="A279" t="str">
        <f>$A$27</f>
        <v>Repair and installation</v>
      </c>
      <c r="B279" s="26">
        <f t="shared" si="86"/>
        <v>-1.6499999999759005</v>
      </c>
      <c r="C279" s="26">
        <f t="shared" si="86"/>
        <v>0.49099999999388011</v>
      </c>
      <c r="D279" s="26">
        <f t="shared" si="86"/>
        <v>-0.79399999996628523</v>
      </c>
      <c r="E279" s="26">
        <f t="shared" si="86"/>
        <v>0.25899999998377865</v>
      </c>
      <c r="F279" s="26">
        <f t="shared" si="85"/>
        <v>-0.53499999998250658</v>
      </c>
    </row>
    <row r="280" spans="1:6" x14ac:dyDescent="0.2">
      <c r="A280" t="str">
        <f>$A$28</f>
        <v>Electricity, gas, etc</v>
      </c>
      <c r="B280" s="26">
        <f t="shared" si="86"/>
        <v>4.0820000000328918</v>
      </c>
      <c r="C280" s="26">
        <f t="shared" si="86"/>
        <v>4.2359999999624627</v>
      </c>
      <c r="D280" s="26">
        <f t="shared" si="86"/>
        <v>-0.85999999978459307</v>
      </c>
      <c r="E280" s="26">
        <f t="shared" si="86"/>
        <v>-0.42400000027249796</v>
      </c>
      <c r="F280" s="26">
        <f t="shared" si="85"/>
        <v>-1.284000000057091</v>
      </c>
    </row>
    <row r="281" spans="1:6" x14ac:dyDescent="0.2">
      <c r="A281" t="str">
        <f>$A$29</f>
        <v>Water</v>
      </c>
      <c r="B281" s="26">
        <f t="shared" si="86"/>
        <v>1.8930000000079952</v>
      </c>
      <c r="C281" s="26">
        <f t="shared" si="86"/>
        <v>-0.14299999999962409</v>
      </c>
      <c r="D281" s="26">
        <f t="shared" si="86"/>
        <v>0.36200000006163879</v>
      </c>
      <c r="E281" s="26">
        <f t="shared" si="86"/>
        <v>0.58299999993868568</v>
      </c>
      <c r="F281" s="26">
        <f t="shared" si="85"/>
        <v>0.94500000000032447</v>
      </c>
    </row>
    <row r="282" spans="1:6" x14ac:dyDescent="0.2">
      <c r="A282" t="str">
        <f>$A$30</f>
        <v>Sewerage</v>
      </c>
      <c r="B282" s="26">
        <f t="shared" si="86"/>
        <v>0.15300000000435254</v>
      </c>
      <c r="C282" s="26">
        <f t="shared" si="86"/>
        <v>-9.0999999985110325E-2</v>
      </c>
      <c r="D282" s="26">
        <f t="shared" si="86"/>
        <v>0.12900000000691447</v>
      </c>
      <c r="E282" s="26">
        <f t="shared" si="86"/>
        <v>0.19900000001384255</v>
      </c>
      <c r="F282" s="26">
        <f t="shared" si="85"/>
        <v>0.32800000002075702</v>
      </c>
    </row>
    <row r="283" spans="1:6" x14ac:dyDescent="0.2">
      <c r="A283" t="str">
        <f>$A$31</f>
        <v>Waste management</v>
      </c>
      <c r="B283" s="26">
        <f t="shared" si="86"/>
        <v>1.0010000000156509</v>
      </c>
      <c r="C283" s="26">
        <f t="shared" si="86"/>
        <v>-1.5029999999339054</v>
      </c>
      <c r="D283" s="26">
        <f t="shared" si="86"/>
        <v>0.77100000007950165</v>
      </c>
      <c r="E283" s="26">
        <f t="shared" si="86"/>
        <v>1.2600000000277625</v>
      </c>
      <c r="F283" s="26">
        <f t="shared" si="85"/>
        <v>2.0310000001072641</v>
      </c>
    </row>
    <row r="284" spans="1:6" x14ac:dyDescent="0.2">
      <c r="A284" t="str">
        <f>$A$32</f>
        <v>Construction</v>
      </c>
      <c r="B284" s="26">
        <f t="shared" si="86"/>
        <v>27.892000001626577</v>
      </c>
      <c r="C284" s="26">
        <f t="shared" si="86"/>
        <v>0.53699999880984706</v>
      </c>
      <c r="D284" s="26">
        <f t="shared" si="86"/>
        <v>6.9229999982901091</v>
      </c>
      <c r="E284" s="26">
        <f t="shared" si="86"/>
        <v>9.6360000009478881</v>
      </c>
      <c r="F284" s="26">
        <f t="shared" si="85"/>
        <v>16.558999999237997</v>
      </c>
    </row>
    <row r="285" spans="1:6" x14ac:dyDescent="0.2">
      <c r="A285" t="str">
        <f>$A$33</f>
        <v>Civil engineering</v>
      </c>
      <c r="B285" s="26">
        <f t="shared" si="86"/>
        <v>3.5040000006005663</v>
      </c>
      <c r="C285" s="26">
        <f t="shared" si="86"/>
        <v>-0.74600000037574077</v>
      </c>
      <c r="D285" s="26">
        <f t="shared" si="86"/>
        <v>1.9099999993976375</v>
      </c>
      <c r="E285" s="26">
        <f t="shared" si="86"/>
        <v>2.60200000032156</v>
      </c>
      <c r="F285" s="26">
        <f t="shared" si="85"/>
        <v>4.5119999997191975</v>
      </c>
    </row>
    <row r="286" spans="1:6" x14ac:dyDescent="0.2">
      <c r="A286" t="str">
        <f>$A$34</f>
        <v>Specialised construction</v>
      </c>
      <c r="B286" s="26">
        <f t="shared" si="86"/>
        <v>0.18000000346101785</v>
      </c>
      <c r="C286" s="26">
        <f t="shared" si="86"/>
        <v>-3.3730000019968429</v>
      </c>
      <c r="D286" s="26">
        <f t="shared" si="86"/>
        <v>10.194999996935707</v>
      </c>
      <c r="E286" s="26">
        <f t="shared" si="86"/>
        <v>13.904000001575724</v>
      </c>
      <c r="F286" s="26">
        <f t="shared" si="85"/>
        <v>24.098999998511431</v>
      </c>
    </row>
    <row r="287" spans="1:6" x14ac:dyDescent="0.2">
      <c r="A287" t="str">
        <f>$A$35</f>
        <v>Motor vehicle trade</v>
      </c>
      <c r="B287" s="26">
        <f t="shared" si="86"/>
        <v>-6.1929999996152318</v>
      </c>
      <c r="C287" s="26">
        <f t="shared" si="86"/>
        <v>-1.941999999947889</v>
      </c>
      <c r="D287" s="26">
        <f t="shared" si="86"/>
        <v>1.0210000002625392</v>
      </c>
      <c r="E287" s="26">
        <f t="shared" si="86"/>
        <v>1.4159999996799257</v>
      </c>
      <c r="F287" s="26">
        <f t="shared" si="85"/>
        <v>2.436999999942465</v>
      </c>
    </row>
    <row r="288" spans="1:6" x14ac:dyDescent="0.2">
      <c r="A288" t="str">
        <f>$A$36</f>
        <v>Wholesale trade</v>
      </c>
      <c r="B288" s="26">
        <f t="shared" si="86"/>
        <v>-3.0559999994376881</v>
      </c>
      <c r="C288" s="26">
        <f t="shared" si="86"/>
        <v>0.6940000002465041</v>
      </c>
      <c r="D288" s="26">
        <f t="shared" si="86"/>
        <v>-3.8999998708433736E-2</v>
      </c>
      <c r="E288" s="26">
        <f t="shared" si="86"/>
        <v>-1.1230000017164912</v>
      </c>
      <c r="F288" s="26">
        <f t="shared" si="85"/>
        <v>-1.1620000004249249</v>
      </c>
    </row>
    <row r="289" spans="1:6" x14ac:dyDescent="0.2">
      <c r="A289" t="str">
        <f>$A$37</f>
        <v>Retail trade</v>
      </c>
      <c r="B289" s="26">
        <f t="shared" si="86"/>
        <v>8.5830000038167213</v>
      </c>
      <c r="C289" s="26">
        <f t="shared" si="86"/>
        <v>9.8729999995440494</v>
      </c>
      <c r="D289" s="26">
        <f t="shared" si="86"/>
        <v>0.87900000722339655</v>
      </c>
      <c r="E289" s="26">
        <f t="shared" si="86"/>
        <v>2.4999999868712734</v>
      </c>
      <c r="F289" s="26">
        <f t="shared" si="85"/>
        <v>3.37899999409467</v>
      </c>
    </row>
    <row r="290" spans="1:6" x14ac:dyDescent="0.2">
      <c r="A290" t="str">
        <f>$A$38</f>
        <v>Land transport, etc</v>
      </c>
      <c r="B290" s="26">
        <f t="shared" si="86"/>
        <v>1.0349999995530794</v>
      </c>
      <c r="C290" s="26">
        <f t="shared" si="86"/>
        <v>-2.5409999989625192</v>
      </c>
      <c r="D290" s="26">
        <f t="shared" si="86"/>
        <v>0.252000000670769</v>
      </c>
      <c r="E290" s="26">
        <f t="shared" si="86"/>
        <v>-0.80800000031173624</v>
      </c>
      <c r="F290" s="26">
        <f t="shared" si="85"/>
        <v>-0.55599999964096725</v>
      </c>
    </row>
    <row r="291" spans="1:6" x14ac:dyDescent="0.2">
      <c r="A291" t="str">
        <f>$A$39</f>
        <v>Water transport</v>
      </c>
      <c r="B291" s="26">
        <f t="shared" si="86"/>
        <v>-0.57499999999372775</v>
      </c>
      <c r="C291" s="26">
        <f t="shared" si="86"/>
        <v>1.7000000000793047E-2</v>
      </c>
      <c r="D291" s="26">
        <f t="shared" si="86"/>
        <v>-0.12299999999476263</v>
      </c>
      <c r="E291" s="26">
        <f t="shared" si="86"/>
        <v>-6.3000000009192147E-2</v>
      </c>
      <c r="F291" s="26">
        <f t="shared" si="85"/>
        <v>-0.18600000000395478</v>
      </c>
    </row>
    <row r="292" spans="1:6" x14ac:dyDescent="0.2">
      <c r="A292" t="str">
        <f>$A$40</f>
        <v>Air transport</v>
      </c>
      <c r="B292" s="26">
        <f t="shared" si="86"/>
        <v>0.59000000001426933</v>
      </c>
      <c r="C292" s="26">
        <f t="shared" si="86"/>
        <v>-4.1999999997640369E-2</v>
      </c>
      <c r="D292" s="26">
        <f t="shared" si="86"/>
        <v>0.6440000000403252</v>
      </c>
      <c r="E292" s="26">
        <f t="shared" si="86"/>
        <v>0.36299999993678389</v>
      </c>
      <c r="F292" s="26">
        <f t="shared" si="85"/>
        <v>1.0069999999771091</v>
      </c>
    </row>
    <row r="293" spans="1:6" x14ac:dyDescent="0.2">
      <c r="A293" t="str">
        <f>$A$41</f>
        <v>Warehousing, etc</v>
      </c>
      <c r="B293" s="26">
        <f t="shared" si="86"/>
        <v>3.0870000001096258</v>
      </c>
      <c r="C293" s="26">
        <f t="shared" si="86"/>
        <v>-0.34699999988362151</v>
      </c>
      <c r="D293" s="26">
        <f t="shared" si="86"/>
        <v>1.3630000002707092</v>
      </c>
      <c r="E293" s="26">
        <f t="shared" si="86"/>
        <v>5.2999999681475174E-2</v>
      </c>
      <c r="F293" s="26">
        <f t="shared" si="85"/>
        <v>1.4159999999521844</v>
      </c>
    </row>
    <row r="294" spans="1:6" x14ac:dyDescent="0.2">
      <c r="A294" t="str">
        <f>$A$42</f>
        <v>Postal and courier</v>
      </c>
      <c r="B294" s="26">
        <f t="shared" si="86"/>
        <v>-5.494999999778905</v>
      </c>
      <c r="C294" s="26">
        <f t="shared" si="86"/>
        <v>1.3570000000880569</v>
      </c>
      <c r="D294" s="26">
        <f t="shared" si="86"/>
        <v>1.2740000004594165</v>
      </c>
      <c r="E294" s="26">
        <f t="shared" si="86"/>
        <v>0.58199999932616464</v>
      </c>
      <c r="F294" s="26">
        <f t="shared" si="85"/>
        <v>1.8559999997855812</v>
      </c>
    </row>
    <row r="295" spans="1:6" x14ac:dyDescent="0.2">
      <c r="A295" t="str">
        <f>$A$43</f>
        <v>Accommodation</v>
      </c>
      <c r="B295" s="26">
        <f t="shared" si="86"/>
        <v>9.1040000010098652</v>
      </c>
      <c r="C295" s="26">
        <f t="shared" si="86"/>
        <v>-5.2040000003470084</v>
      </c>
      <c r="D295" s="26">
        <f t="shared" si="86"/>
        <v>12.001000001869429</v>
      </c>
      <c r="E295" s="26">
        <f t="shared" si="86"/>
        <v>5.9509999968416878</v>
      </c>
      <c r="F295" s="26">
        <f t="shared" si="85"/>
        <v>17.951999998711116</v>
      </c>
    </row>
    <row r="296" spans="1:6" x14ac:dyDescent="0.2">
      <c r="A296" t="str">
        <f>$A$44</f>
        <v>Food and beverage services</v>
      </c>
      <c r="B296" s="26">
        <f t="shared" si="86"/>
        <v>34.752000002737702</v>
      </c>
      <c r="C296" s="26">
        <f t="shared" si="86"/>
        <v>-3.9670000007683086</v>
      </c>
      <c r="D296" s="26">
        <f t="shared" si="86"/>
        <v>6.5930000037765808</v>
      </c>
      <c r="E296" s="26">
        <f t="shared" si="86"/>
        <v>30.528999992377095</v>
      </c>
      <c r="F296" s="26">
        <f t="shared" si="85"/>
        <v>37.121999996153676</v>
      </c>
    </row>
    <row r="297" spans="1:6" x14ac:dyDescent="0.2">
      <c r="A297" t="str">
        <f>$A$45</f>
        <v>Publishing activities</v>
      </c>
      <c r="B297" s="26">
        <f t="shared" ref="B297:E297" si="87">C45-B45</f>
        <v>3.3529999998958733</v>
      </c>
      <c r="C297" s="26">
        <f t="shared" si="87"/>
        <v>-0.38700000007905544</v>
      </c>
      <c r="D297" s="26">
        <f t="shared" si="87"/>
        <v>-0.36299999991939558</v>
      </c>
      <c r="E297" s="26">
        <f t="shared" si="87"/>
        <v>-0.30099999994969906</v>
      </c>
      <c r="F297" s="26">
        <f t="shared" si="85"/>
        <v>-0.66399999986909464</v>
      </c>
    </row>
    <row r="298" spans="1:6" x14ac:dyDescent="0.2">
      <c r="A298" t="str">
        <f>$A$46</f>
        <v>Film and music</v>
      </c>
      <c r="B298" s="26">
        <f t="shared" ref="B298:C322" si="88">C46-B46</f>
        <v>2.6869999998942404</v>
      </c>
      <c r="C298" s="26">
        <f t="shared" si="88"/>
        <v>-1.4929999999864716</v>
      </c>
      <c r="D298" s="26">
        <f t="shared" ref="D298:E298" si="89">E46-D46</f>
        <v>-0.25999999994828649</v>
      </c>
      <c r="E298" s="26">
        <f t="shared" si="89"/>
        <v>-0.1649999999472449</v>
      </c>
      <c r="F298" s="26">
        <f t="shared" si="85"/>
        <v>-0.42499999989553139</v>
      </c>
    </row>
    <row r="299" spans="1:6" x14ac:dyDescent="0.2">
      <c r="A299" t="str">
        <f>$A$47</f>
        <v>Broadcasting</v>
      </c>
      <c r="B299" s="26">
        <f t="shared" si="88"/>
        <v>1.3179999999906891</v>
      </c>
      <c r="C299" s="26">
        <f t="shared" si="88"/>
        <v>-2.9000000010415139E-2</v>
      </c>
      <c r="D299" s="26">
        <f t="shared" ref="D299:E299" si="90">E47-D47</f>
        <v>-5.6999999987064509E-2</v>
      </c>
      <c r="E299" s="26">
        <f t="shared" si="90"/>
        <v>-4.799999999352389E-2</v>
      </c>
      <c r="F299" s="26">
        <f t="shared" si="85"/>
        <v>-0.1049999999805884</v>
      </c>
    </row>
    <row r="300" spans="1:6" x14ac:dyDescent="0.2">
      <c r="A300" t="str">
        <f>$A$48</f>
        <v>Telecommunications</v>
      </c>
      <c r="B300" s="26">
        <f t="shared" si="88"/>
        <v>-4.8360000000322767</v>
      </c>
      <c r="C300" s="26">
        <f t="shared" si="88"/>
        <v>-0.73200000008874966</v>
      </c>
      <c r="D300" s="26">
        <f t="shared" ref="D300:E300" si="91">E48-D48</f>
        <v>0.70500000015433173</v>
      </c>
      <c r="E300" s="26">
        <f t="shared" si="91"/>
        <v>0.75599999984922661</v>
      </c>
      <c r="F300" s="26">
        <f t="shared" si="85"/>
        <v>1.4610000000035583</v>
      </c>
    </row>
    <row r="301" spans="1:6" x14ac:dyDescent="0.2">
      <c r="A301" t="str">
        <f>$A$49</f>
        <v>Computing services</v>
      </c>
      <c r="B301" s="26">
        <f t="shared" si="88"/>
        <v>4.9729999995894119</v>
      </c>
      <c r="C301" s="26">
        <f t="shared" si="88"/>
        <v>-1.1910000003322381</v>
      </c>
      <c r="D301" s="26">
        <f t="shared" ref="D301:E301" si="92">E49-D49</f>
        <v>2.6900000004432059</v>
      </c>
      <c r="E301" s="26">
        <f t="shared" si="92"/>
        <v>2.836999999758163</v>
      </c>
      <c r="F301" s="26">
        <f t="shared" si="85"/>
        <v>5.5270000002013688</v>
      </c>
    </row>
    <row r="302" spans="1:6" x14ac:dyDescent="0.2">
      <c r="A302" t="str">
        <f>$A$50</f>
        <v>Information services</v>
      </c>
      <c r="B302" s="26">
        <f t="shared" si="88"/>
        <v>-6.4360000000106581</v>
      </c>
      <c r="C302" s="26">
        <f t="shared" si="88"/>
        <v>-0.28000000000364977</v>
      </c>
      <c r="D302" s="26">
        <f t="shared" ref="D302:E302" si="93">E50-D50</f>
        <v>0.4050000000797791</v>
      </c>
      <c r="E302" s="26">
        <f t="shared" si="93"/>
        <v>0.46799999994385821</v>
      </c>
      <c r="F302" s="26">
        <f t="shared" si="85"/>
        <v>0.87300000002363731</v>
      </c>
    </row>
    <row r="303" spans="1:6" x14ac:dyDescent="0.2">
      <c r="A303" t="str">
        <f>$A$51</f>
        <v>Financial services</v>
      </c>
      <c r="B303" s="26">
        <f t="shared" si="88"/>
        <v>-6.4610000000526071</v>
      </c>
      <c r="C303" s="26">
        <f t="shared" si="88"/>
        <v>4.0569999998097117</v>
      </c>
      <c r="D303" s="26">
        <f t="shared" ref="D303:E303" si="94">E51-D51</f>
        <v>-9.3999999479578378E-2</v>
      </c>
      <c r="E303" s="26">
        <f t="shared" si="94"/>
        <v>-1.5720000002714443</v>
      </c>
      <c r="F303" s="26">
        <f t="shared" si="85"/>
        <v>-1.6659999997510226</v>
      </c>
    </row>
    <row r="304" spans="1:6" x14ac:dyDescent="0.2">
      <c r="A304" t="str">
        <f>$A$52</f>
        <v>Insurance and pensions</v>
      </c>
      <c r="B304" s="26">
        <f t="shared" si="88"/>
        <v>0.62199999996066602</v>
      </c>
      <c r="C304" s="26">
        <f t="shared" si="88"/>
        <v>1.1029999999556779</v>
      </c>
      <c r="D304" s="26">
        <f t="shared" ref="D304:E304" si="95">E52-D52</f>
        <v>-3.0999999891324848E-2</v>
      </c>
      <c r="E304" s="26">
        <f t="shared" si="95"/>
        <v>-0.45200000002884799</v>
      </c>
      <c r="F304" s="26">
        <f t="shared" si="85"/>
        <v>-0.48299999992017284</v>
      </c>
    </row>
    <row r="305" spans="1:6" x14ac:dyDescent="0.2">
      <c r="A305" t="str">
        <f>$A$53</f>
        <v>Auxiliary financial services</v>
      </c>
      <c r="B305" s="26">
        <f t="shared" si="88"/>
        <v>-4.0970000001115778</v>
      </c>
      <c r="C305" s="26">
        <f t="shared" si="88"/>
        <v>3.7599999998410567</v>
      </c>
      <c r="D305" s="26">
        <f t="shared" ref="D305:E305" si="96">E53-D53</f>
        <v>7.8000000480528797E-2</v>
      </c>
      <c r="E305" s="26">
        <f t="shared" si="96"/>
        <v>-1.3460000001594423</v>
      </c>
      <c r="F305" s="26">
        <f t="shared" si="85"/>
        <v>-1.2679999996789135</v>
      </c>
    </row>
    <row r="306" spans="1:6" x14ac:dyDescent="0.2">
      <c r="A306" t="str">
        <f>$A$54</f>
        <v>Real estate</v>
      </c>
      <c r="B306" s="26">
        <f t="shared" si="88"/>
        <v>4.3430000001989697</v>
      </c>
      <c r="C306" s="26">
        <f t="shared" si="88"/>
        <v>2.0699999996148506</v>
      </c>
      <c r="D306" s="26">
        <f t="shared" ref="D306:E306" si="97">E54-D54</f>
        <v>-5.8419999993038161</v>
      </c>
      <c r="E306" s="26">
        <f t="shared" si="97"/>
        <v>0.3409999994094477</v>
      </c>
      <c r="F306" s="26">
        <f t="shared" si="85"/>
        <v>-5.5009999998943684</v>
      </c>
    </row>
    <row r="307" spans="1:6" x14ac:dyDescent="0.2">
      <c r="A307" t="str">
        <f>$A$55</f>
        <v>Legal and accounting</v>
      </c>
      <c r="B307" s="26">
        <f t="shared" si="88"/>
        <v>16.729999998578414</v>
      </c>
      <c r="C307" s="26">
        <f t="shared" si="88"/>
        <v>-0.52700000015870785</v>
      </c>
      <c r="D307" s="26">
        <f t="shared" ref="D307:E307" si="98">E55-D55</f>
        <v>2.7120000007675031</v>
      </c>
      <c r="E307" s="26">
        <f t="shared" si="98"/>
        <v>2.6780000008839693</v>
      </c>
      <c r="F307" s="26">
        <f t="shared" si="85"/>
        <v>5.3900000016514724</v>
      </c>
    </row>
    <row r="308" spans="1:6" x14ac:dyDescent="0.2">
      <c r="A308" t="str">
        <f>$A$56</f>
        <v>Head offices, etc</v>
      </c>
      <c r="B308" s="26">
        <f t="shared" si="88"/>
        <v>14.187999999110524</v>
      </c>
      <c r="C308" s="26">
        <f t="shared" si="88"/>
        <v>-0.53400000030150352</v>
      </c>
      <c r="D308" s="26">
        <f t="shared" ref="D308:E308" si="99">E56-D56</f>
        <v>1.0930000006557918</v>
      </c>
      <c r="E308" s="26">
        <f t="shared" si="99"/>
        <v>1.3130000003695415</v>
      </c>
      <c r="F308" s="26">
        <f t="shared" si="85"/>
        <v>2.4060000010253333</v>
      </c>
    </row>
    <row r="309" spans="1:6" x14ac:dyDescent="0.2">
      <c r="A309" t="str">
        <f>$A$57</f>
        <v>Architectural and related</v>
      </c>
      <c r="B309" s="26">
        <f t="shared" si="88"/>
        <v>-4.9810000005296757</v>
      </c>
      <c r="C309" s="26">
        <f t="shared" si="88"/>
        <v>-3.6030000003840712</v>
      </c>
      <c r="D309" s="26">
        <f t="shared" ref="D309:E309" si="100">E57-D57</f>
        <v>-0.34799999922805824</v>
      </c>
      <c r="E309" s="26">
        <f t="shared" si="100"/>
        <v>2.7899999998676535</v>
      </c>
      <c r="F309" s="26">
        <f t="shared" si="85"/>
        <v>2.4420000006395952</v>
      </c>
    </row>
    <row r="310" spans="1:6" x14ac:dyDescent="0.2">
      <c r="A310" t="str">
        <f>$A$58</f>
        <v>Scientific research and development</v>
      </c>
      <c r="B310" s="26">
        <f t="shared" si="88"/>
        <v>1.4579999997894664</v>
      </c>
      <c r="C310" s="26">
        <f t="shared" si="88"/>
        <v>-1.5000000000433928</v>
      </c>
      <c r="D310" s="26">
        <f t="shared" ref="D310:E310" si="101">E58-D58</f>
        <v>2.2069999998912859</v>
      </c>
      <c r="E310" s="26">
        <f t="shared" si="101"/>
        <v>2.812000000286897</v>
      </c>
      <c r="F310" s="26">
        <f t="shared" si="85"/>
        <v>5.0190000001781829</v>
      </c>
    </row>
    <row r="311" spans="1:6" x14ac:dyDescent="0.2">
      <c r="A311" t="str">
        <f>$A$59</f>
        <v>Advertising, etc</v>
      </c>
      <c r="B311" s="26">
        <f t="shared" si="88"/>
        <v>1.6519999998066179</v>
      </c>
      <c r="C311" s="26">
        <f t="shared" si="88"/>
        <v>5.9999999954401417E-2</v>
      </c>
      <c r="D311" s="26">
        <f t="shared" ref="D311:E311" si="102">E59-D59</f>
        <v>2.5490000000692561</v>
      </c>
      <c r="E311" s="26">
        <f t="shared" si="102"/>
        <v>3.3930000002269392</v>
      </c>
      <c r="F311" s="26">
        <f t="shared" si="85"/>
        <v>5.9420000002961952</v>
      </c>
    </row>
    <row r="312" spans="1:6" x14ac:dyDescent="0.2">
      <c r="A312" t="str">
        <f>$A$60</f>
        <v>Other professional</v>
      </c>
      <c r="B312" s="26">
        <f t="shared" si="88"/>
        <v>-9.1000000243585788E-2</v>
      </c>
      <c r="C312" s="26">
        <f t="shared" si="88"/>
        <v>-0.68100000003956751</v>
      </c>
      <c r="D312" s="26">
        <f t="shared" ref="D312:E312" si="103">E60-D60</f>
        <v>3.7910000001946287</v>
      </c>
      <c r="E312" s="26">
        <f t="shared" si="103"/>
        <v>4.9050000001469805</v>
      </c>
      <c r="F312" s="26">
        <f t="shared" si="85"/>
        <v>8.6960000003416091</v>
      </c>
    </row>
    <row r="313" spans="1:6" x14ac:dyDescent="0.2">
      <c r="A313" t="str">
        <f>$A$61</f>
        <v>Veterinary</v>
      </c>
      <c r="B313" s="26">
        <f t="shared" si="88"/>
        <v>-1.6420000000176422</v>
      </c>
      <c r="C313" s="26">
        <f t="shared" si="88"/>
        <v>0.88700000041701799</v>
      </c>
      <c r="D313" s="26">
        <f t="shared" ref="D313:E313" si="104">E61-D61</f>
        <v>2.4429999996623479</v>
      </c>
      <c r="E313" s="26">
        <f t="shared" si="104"/>
        <v>3.3460000001643078</v>
      </c>
      <c r="F313" s="26">
        <f t="shared" si="85"/>
        <v>5.7889999998266557</v>
      </c>
    </row>
    <row r="314" spans="1:6" x14ac:dyDescent="0.2">
      <c r="A314" t="str">
        <f>$A$62</f>
        <v>Rental and leasing</v>
      </c>
      <c r="B314" s="26">
        <f t="shared" si="88"/>
        <v>0.63600000000122137</v>
      </c>
      <c r="C314" s="26">
        <f t="shared" si="88"/>
        <v>-7.3999999973235475E-2</v>
      </c>
      <c r="D314" s="26">
        <f t="shared" ref="D314:E314" si="105">E62-D62</f>
        <v>1.5310000001631714</v>
      </c>
      <c r="E314" s="26">
        <f t="shared" si="105"/>
        <v>1.5379999998586538</v>
      </c>
      <c r="F314" s="26">
        <f t="shared" si="85"/>
        <v>3.0690000000218252</v>
      </c>
    </row>
    <row r="315" spans="1:6" x14ac:dyDescent="0.2">
      <c r="A315" t="str">
        <f>$A$63</f>
        <v>Employment activities</v>
      </c>
      <c r="B315" s="26">
        <f t="shared" si="88"/>
        <v>5.6420000002528141</v>
      </c>
      <c r="C315" s="26">
        <f t="shared" si="88"/>
        <v>-1.6520000001820847</v>
      </c>
      <c r="D315" s="26">
        <f t="shared" ref="D315:E315" si="106">E63-D63</f>
        <v>7.2440000005925498</v>
      </c>
      <c r="E315" s="26">
        <f t="shared" si="106"/>
        <v>7.1749999995663529</v>
      </c>
      <c r="F315" s="26">
        <f t="shared" si="85"/>
        <v>14.419000000158903</v>
      </c>
    </row>
    <row r="316" spans="1:6" x14ac:dyDescent="0.2">
      <c r="A316" t="str">
        <f>$A$64</f>
        <v>Travel, etc</v>
      </c>
      <c r="B316" s="26">
        <f t="shared" si="88"/>
        <v>-2.2999999999735516</v>
      </c>
      <c r="C316" s="26">
        <f t="shared" si="88"/>
        <v>-9.3000000032929186E-2</v>
      </c>
      <c r="D316" s="26">
        <f t="shared" ref="D316:E316" si="107">E64-D64</f>
        <v>0.52000000010080782</v>
      </c>
      <c r="E316" s="26">
        <f t="shared" si="107"/>
        <v>0.51999999989692824</v>
      </c>
      <c r="F316" s="26">
        <f t="shared" si="85"/>
        <v>1.0399999999977361</v>
      </c>
    </row>
    <row r="317" spans="1:6" x14ac:dyDescent="0.2">
      <c r="A317" t="str">
        <f>$A$65</f>
        <v>Security, etc</v>
      </c>
      <c r="B317" s="26">
        <f t="shared" si="88"/>
        <v>1.7420000000534266</v>
      </c>
      <c r="C317" s="26">
        <f t="shared" si="88"/>
        <v>-0.24500000000886502</v>
      </c>
      <c r="D317" s="26">
        <f t="shared" ref="D317:E317" si="108">E65-D65</f>
        <v>1.6080000001195138</v>
      </c>
      <c r="E317" s="26">
        <f t="shared" si="108"/>
        <v>1.6009999999146309</v>
      </c>
      <c r="F317" s="26">
        <f t="shared" si="85"/>
        <v>3.2090000000341448</v>
      </c>
    </row>
    <row r="318" spans="1:6" x14ac:dyDescent="0.2">
      <c r="A318" t="str">
        <f>$A$66</f>
        <v>Services to buildings</v>
      </c>
      <c r="B318" s="26">
        <f t="shared" si="88"/>
        <v>5.5210000004164854</v>
      </c>
      <c r="C318" s="26">
        <f t="shared" si="88"/>
        <v>-3.7930000002666162</v>
      </c>
      <c r="D318" s="26">
        <f t="shared" ref="D318:E318" si="109">E66-D66</f>
        <v>6.000000000472987</v>
      </c>
      <c r="E318" s="26">
        <f t="shared" si="109"/>
        <v>5.6649999994912008</v>
      </c>
      <c r="F318" s="26">
        <f t="shared" si="85"/>
        <v>11.664999999964188</v>
      </c>
    </row>
    <row r="319" spans="1:6" x14ac:dyDescent="0.2">
      <c r="A319" t="str">
        <f>$A$67</f>
        <v>Office administrative</v>
      </c>
      <c r="B319" s="26">
        <f t="shared" si="88"/>
        <v>-7.6959999998935089</v>
      </c>
      <c r="C319" s="26">
        <f t="shared" si="88"/>
        <v>-0.7260000001000364</v>
      </c>
      <c r="D319" s="26">
        <f t="shared" ref="D319:E319" si="110">E67-D67</f>
        <v>4.1370000002963749</v>
      </c>
      <c r="E319" s="26">
        <f t="shared" si="110"/>
        <v>4.1359999998060317</v>
      </c>
      <c r="F319" s="26">
        <f t="shared" si="85"/>
        <v>8.2730000001024067</v>
      </c>
    </row>
    <row r="320" spans="1:6" x14ac:dyDescent="0.2">
      <c r="A320" t="str">
        <f>$A$68</f>
        <v>Public administration and defence</v>
      </c>
      <c r="B320" s="26">
        <f t="shared" si="88"/>
        <v>2.6119999993041461</v>
      </c>
      <c r="C320" s="26">
        <f t="shared" si="88"/>
        <v>6.1729999997930065</v>
      </c>
      <c r="D320" s="26">
        <f t="shared" ref="D320:E320" si="111">E68-D68</f>
        <v>5.8509999994711279</v>
      </c>
      <c r="E320" s="26">
        <f t="shared" si="111"/>
        <v>2.3320000013736291</v>
      </c>
      <c r="F320" s="26">
        <f t="shared" si="85"/>
        <v>8.183000000844757</v>
      </c>
    </row>
    <row r="321" spans="1:6" x14ac:dyDescent="0.2">
      <c r="A321" t="str">
        <f>$A$69</f>
        <v xml:space="preserve">Education </v>
      </c>
      <c r="B321" s="26">
        <f t="shared" si="88"/>
        <v>11.159999993286817</v>
      </c>
      <c r="C321" s="26">
        <f t="shared" si="88"/>
        <v>-9.957999998890017</v>
      </c>
      <c r="D321" s="26">
        <f t="shared" ref="D321:E321" si="112">E69-D69</f>
        <v>5.0799999813479815</v>
      </c>
      <c r="E321" s="26">
        <f t="shared" si="112"/>
        <v>14.115000024233666</v>
      </c>
      <c r="F321" s="26">
        <f t="shared" si="85"/>
        <v>19.195000005581647</v>
      </c>
    </row>
    <row r="322" spans="1:6" x14ac:dyDescent="0.2">
      <c r="A322" t="str">
        <f>$A$70</f>
        <v>Health</v>
      </c>
      <c r="B322" s="26">
        <f t="shared" si="88"/>
        <v>13.746999999170981</v>
      </c>
      <c r="C322" s="26">
        <f t="shared" si="88"/>
        <v>-3.0529999984678682</v>
      </c>
      <c r="D322" s="26">
        <f t="shared" ref="D322:E322" si="113">E70-D70</f>
        <v>27.081999998073826</v>
      </c>
      <c r="E322" s="26">
        <f t="shared" si="113"/>
        <v>44.844000002418028</v>
      </c>
      <c r="F322" s="26">
        <f t="shared" ref="F322:F333" si="114">F70-D70</f>
        <v>71.926000000491854</v>
      </c>
    </row>
    <row r="323" spans="1:6" x14ac:dyDescent="0.2">
      <c r="A323" t="str">
        <f>$A$71</f>
        <v>Residential care</v>
      </c>
      <c r="B323" s="26">
        <f t="shared" ref="B323:C323" si="115">C71-B71</f>
        <v>-6.5120000001012954</v>
      </c>
      <c r="C323" s="26">
        <f t="shared" si="115"/>
        <v>-5.9399999992189834</v>
      </c>
      <c r="D323" s="26">
        <f t="shared" ref="D323:D331" si="116">E71-D71</f>
        <v>4.4809999992885707</v>
      </c>
      <c r="E323" s="26">
        <f t="shared" ref="E323:E331" si="117">F71-E71</f>
        <v>4.8700000007765851</v>
      </c>
      <c r="F323" s="26">
        <f t="shared" si="114"/>
        <v>9.3510000000651559</v>
      </c>
    </row>
    <row r="324" spans="1:6" x14ac:dyDescent="0.2">
      <c r="A324" t="str">
        <f>$A$72</f>
        <v>Social work</v>
      </c>
      <c r="B324" s="26">
        <f t="shared" ref="B324:C324" si="118">C72-B72</f>
        <v>-9.6170000000658291</v>
      </c>
      <c r="C324" s="26">
        <f t="shared" si="118"/>
        <v>-6.4319999992477221</v>
      </c>
      <c r="D324" s="26">
        <f t="shared" si="116"/>
        <v>4.1709999992186226</v>
      </c>
      <c r="E324" s="26">
        <f t="shared" si="117"/>
        <v>3.9340000009632945</v>
      </c>
      <c r="F324" s="26">
        <f t="shared" si="114"/>
        <v>8.1050000001819171</v>
      </c>
    </row>
    <row r="325" spans="1:6" x14ac:dyDescent="0.2">
      <c r="A325" t="str">
        <f>$A$73</f>
        <v>Arts and entertainment</v>
      </c>
      <c r="B325" s="26">
        <f t="shared" ref="B325:C325" si="119">C73-B73</f>
        <v>2.4029999997947407</v>
      </c>
      <c r="C325" s="26">
        <f t="shared" si="119"/>
        <v>-1.1700000000662047</v>
      </c>
      <c r="D325" s="26">
        <f t="shared" si="116"/>
        <v>1.7960000001418539</v>
      </c>
      <c r="E325" s="26">
        <f t="shared" si="117"/>
        <v>1.4610000001930175</v>
      </c>
      <c r="F325" s="26">
        <f t="shared" si="114"/>
        <v>3.2570000003348714</v>
      </c>
    </row>
    <row r="326" spans="1:6" x14ac:dyDescent="0.2">
      <c r="A326" t="str">
        <f>$A$74</f>
        <v>Libraries, etc</v>
      </c>
      <c r="B326" s="26">
        <f t="shared" ref="B326:C326" si="120">C74-B74</f>
        <v>-3.1280000003120527</v>
      </c>
      <c r="C326" s="26">
        <f t="shared" si="120"/>
        <v>-1.4670000000683441</v>
      </c>
      <c r="D326" s="26">
        <f t="shared" si="116"/>
        <v>2.05200000018033</v>
      </c>
      <c r="E326" s="26">
        <f t="shared" si="117"/>
        <v>1.6590000001808285</v>
      </c>
      <c r="F326" s="26">
        <f t="shared" si="114"/>
        <v>3.7110000003611585</v>
      </c>
    </row>
    <row r="327" spans="1:6" x14ac:dyDescent="0.2">
      <c r="A327" t="str">
        <f>$A$75</f>
        <v>Gambling and betting</v>
      </c>
      <c r="B327" s="26">
        <f t="shared" ref="B327:C327" si="121">C75-B75</f>
        <v>-0.17400000005122429</v>
      </c>
      <c r="C327" s="26">
        <f t="shared" si="121"/>
        <v>-0.52300000000285518</v>
      </c>
      <c r="D327" s="26">
        <f t="shared" si="116"/>
        <v>0.90900000004717008</v>
      </c>
      <c r="E327" s="26">
        <f t="shared" si="117"/>
        <v>1.0480000000333503</v>
      </c>
      <c r="F327" s="26">
        <f t="shared" si="114"/>
        <v>1.9570000000805203</v>
      </c>
    </row>
    <row r="328" spans="1:6" x14ac:dyDescent="0.2">
      <c r="A328" t="str">
        <f>$A$76</f>
        <v>Sport and recreation</v>
      </c>
      <c r="B328" s="26">
        <f t="shared" ref="B328:C328" si="122">C76-B76</f>
        <v>7.6239999996515664</v>
      </c>
      <c r="C328" s="26">
        <f t="shared" si="122"/>
        <v>-5.6160000000663999</v>
      </c>
      <c r="D328" s="26">
        <f t="shared" si="116"/>
        <v>9.2190000005747166</v>
      </c>
      <c r="E328" s="26">
        <f t="shared" si="117"/>
        <v>10.493000000187713</v>
      </c>
      <c r="F328" s="26">
        <f t="shared" si="114"/>
        <v>19.71200000076243</v>
      </c>
    </row>
    <row r="329" spans="1:6" x14ac:dyDescent="0.2">
      <c r="A329" t="str">
        <f>$A$77</f>
        <v>Membership organisations</v>
      </c>
      <c r="B329" s="26">
        <f t="shared" ref="B329:C329" si="123">C77-B77</f>
        <v>2.5819999994472909</v>
      </c>
      <c r="C329" s="26">
        <f t="shared" si="123"/>
        <v>-4.0010000000707926</v>
      </c>
      <c r="D329" s="26">
        <f t="shared" si="116"/>
        <v>0.98300000010355504</v>
      </c>
      <c r="E329" s="26">
        <f t="shared" si="117"/>
        <v>0.57100000046501975</v>
      </c>
      <c r="F329" s="26">
        <f t="shared" si="114"/>
        <v>1.5540000005685748</v>
      </c>
    </row>
    <row r="330" spans="1:6" x14ac:dyDescent="0.2">
      <c r="A330" t="str">
        <f>$A$78</f>
        <v>Repair of goods</v>
      </c>
      <c r="B330" s="26">
        <f t="shared" ref="B330:C330" si="124">C78-B78</f>
        <v>2.9380000000388113</v>
      </c>
      <c r="C330" s="26">
        <f t="shared" si="124"/>
        <v>0.66099999992868153</v>
      </c>
      <c r="D330" s="26">
        <f t="shared" si="116"/>
        <v>0.49500000011595979</v>
      </c>
      <c r="E330" s="26">
        <f t="shared" si="117"/>
        <v>0.44799999988388883</v>
      </c>
      <c r="F330" s="26">
        <f t="shared" si="114"/>
        <v>0.94299999999984863</v>
      </c>
    </row>
    <row r="331" spans="1:6" x14ac:dyDescent="0.2">
      <c r="A331" t="str">
        <f>$A$79</f>
        <v>Other personal service</v>
      </c>
      <c r="B331" s="26">
        <f>C79-B79</f>
        <v>5.3840000005186042</v>
      </c>
      <c r="C331" s="26">
        <f t="shared" ref="C331" si="125">D79-C79</f>
        <v>-3.0990000005930369</v>
      </c>
      <c r="D331" s="26">
        <f t="shared" si="116"/>
        <v>1.378000000719652</v>
      </c>
      <c r="E331" s="26">
        <f t="shared" si="117"/>
        <v>1.0359999992774576</v>
      </c>
      <c r="F331" s="26">
        <f t="shared" si="114"/>
        <v>2.4139999999971096</v>
      </c>
    </row>
    <row r="332" spans="1:6" x14ac:dyDescent="0.2">
      <c r="B332" s="26"/>
      <c r="C332" s="26"/>
      <c r="D332" s="26"/>
      <c r="E332" s="26"/>
      <c r="F332" s="26"/>
    </row>
    <row r="333" spans="1:6" x14ac:dyDescent="0.2">
      <c r="A333" s="23" t="str">
        <f>$A$81</f>
        <v>All industries</v>
      </c>
      <c r="B333" s="28">
        <f t="shared" ref="B333" si="126">C81-B81</f>
        <v>144.25500000253805</v>
      </c>
      <c r="C333" s="28">
        <f t="shared" ref="C333" si="127">D81-C81</f>
        <v>-32.520000003185487</v>
      </c>
      <c r="D333" s="28">
        <f>E81-D81</f>
        <v>129.06799999786836</v>
      </c>
      <c r="E333" s="28">
        <f>F81-E81</f>
        <v>181.43800000295914</v>
      </c>
      <c r="F333" s="28">
        <f t="shared" si="114"/>
        <v>310.5060000008275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CONCATENATE("Industry Table 4  Employment by Industry Group in Sector (SIC 2007), ",B$5,"-",F$5,", ",Info!B5)</f>
        <v>Industry Table 4  Employment by Industry Group in Sector (SIC 2007), 2015-2035, South West</v>
      </c>
    </row>
    <row r="2" spans="1:12" ht="12.75" customHeight="1" x14ac:dyDescent="0.2">
      <c r="A2" s="181" t="s">
        <v>534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'Ind T1'!A7</f>
        <v>Primary sector and utilities</v>
      </c>
      <c r="B7" s="30">
        <f>'Ind T1'!B7</f>
        <v>79.554999999860328</v>
      </c>
      <c r="C7" s="30">
        <f>'Ind T1'!C7</f>
        <v>85.439000000354525</v>
      </c>
      <c r="D7" s="30">
        <f>'Ind T1'!D7</f>
        <v>98.602000000047752</v>
      </c>
      <c r="E7" s="30">
        <f>'Ind T1'!E7</f>
        <v>100.27599999998823</v>
      </c>
      <c r="F7" s="30">
        <f>'Ind T1'!F7</f>
        <v>102.72099999935368</v>
      </c>
      <c r="H7" s="30">
        <f>C7-B7</f>
        <v>5.884000000494197</v>
      </c>
      <c r="I7" s="30">
        <f>D7-C7</f>
        <v>13.162999999693227</v>
      </c>
      <c r="J7" s="30">
        <f>E7-D7</f>
        <v>1.6739999999404773</v>
      </c>
      <c r="K7" s="30">
        <f>F7-E7</f>
        <v>2.4449999993654501</v>
      </c>
      <c r="L7" s="30">
        <f>F7-D7</f>
        <v>4.1189999993059274</v>
      </c>
    </row>
    <row r="8" spans="1:12" x14ac:dyDescent="0.2">
      <c r="A8" t="str">
        <f>'Ind T2'!A5</f>
        <v>Agriculture</v>
      </c>
      <c r="B8" s="31">
        <f>'Ind T2'!B5</f>
        <v>47.735999999941654</v>
      </c>
      <c r="C8" s="31">
        <f>'Ind T2'!C5</f>
        <v>47.696000000365181</v>
      </c>
      <c r="D8" s="31">
        <f>'Ind T2'!D5</f>
        <v>58.314000000000618</v>
      </c>
      <c r="E8" s="31">
        <f>'Ind T2'!E5</f>
        <v>60.366999999567113</v>
      </c>
      <c r="F8" s="31">
        <f>'Ind T2'!F5</f>
        <v>62.039999999227852</v>
      </c>
      <c r="H8" s="11">
        <f t="shared" ref="H8:H40" si="0">C8-B8</f>
        <v>-3.9999999576473044E-2</v>
      </c>
      <c r="I8" s="30">
        <f t="shared" ref="I8:I38" si="1">D8-C8</f>
        <v>10.617999999635437</v>
      </c>
      <c r="J8" s="11">
        <f t="shared" ref="J8:J38" si="2">E8-D8</f>
        <v>2.0529999995664951</v>
      </c>
      <c r="K8" s="11">
        <f t="shared" ref="K8:K38" si="3">F8-E8</f>
        <v>1.672999999660739</v>
      </c>
      <c r="L8" s="30">
        <f t="shared" ref="L8:L40" si="4">F8-D8</f>
        <v>3.7259999992272341</v>
      </c>
    </row>
    <row r="9" spans="1:12" x14ac:dyDescent="0.2">
      <c r="A9" t="str">
        <f>'Ind T2'!A6</f>
        <v>Mining and quarrying</v>
      </c>
      <c r="B9" s="31">
        <f>'Ind T2'!B6</f>
        <v>4.6809999999860983</v>
      </c>
      <c r="C9" s="31">
        <f>'Ind T2'!C6</f>
        <v>3.4759999999958771</v>
      </c>
      <c r="D9" s="31">
        <f>'Ind T2'!D6</f>
        <v>3.522000000009839</v>
      </c>
      <c r="E9" s="31">
        <f>'Ind T2'!E6</f>
        <v>2.7410000000203789</v>
      </c>
      <c r="F9" s="31">
        <f>'Ind T2'!F6</f>
        <v>1.8950000000172895</v>
      </c>
      <c r="H9" s="11">
        <f t="shared" si="0"/>
        <v>-1.2049999999902212</v>
      </c>
      <c r="I9" s="30">
        <f t="shared" si="1"/>
        <v>4.6000000013961984E-2</v>
      </c>
      <c r="J9" s="11">
        <f t="shared" si="2"/>
        <v>-0.78099999998946013</v>
      </c>
      <c r="K9" s="11">
        <f t="shared" si="3"/>
        <v>-0.84600000000308939</v>
      </c>
      <c r="L9" s="30">
        <f t="shared" si="4"/>
        <v>-1.6269999999925495</v>
      </c>
    </row>
    <row r="10" spans="1:12" x14ac:dyDescent="0.2">
      <c r="A10" t="str">
        <f>'Ind T2'!A10</f>
        <v>Electricity and gas</v>
      </c>
      <c r="B10" s="31">
        <f>'Ind T2'!B10</f>
        <v>7.0339999999593914</v>
      </c>
      <c r="C10" s="31">
        <f>'Ind T2'!C10</f>
        <v>11.115999999992283</v>
      </c>
      <c r="D10" s="31">
        <f>'Ind T2'!D10</f>
        <v>15.351999999954746</v>
      </c>
      <c r="E10" s="31">
        <f>'Ind T2'!E10</f>
        <v>14.492000000170153</v>
      </c>
      <c r="F10" s="31">
        <f>'Ind T2'!F10</f>
        <v>14.067999999897655</v>
      </c>
      <c r="H10" s="11">
        <f t="shared" si="0"/>
        <v>4.0820000000328918</v>
      </c>
      <c r="I10" s="30">
        <f t="shared" si="1"/>
        <v>4.2359999999624627</v>
      </c>
      <c r="J10" s="11">
        <f t="shared" si="2"/>
        <v>-0.85999999978459307</v>
      </c>
      <c r="K10" s="11">
        <f t="shared" si="3"/>
        <v>-0.42400000027249796</v>
      </c>
      <c r="L10" s="30">
        <f t="shared" si="4"/>
        <v>-1.284000000057091</v>
      </c>
    </row>
    <row r="11" spans="1:12" x14ac:dyDescent="0.2">
      <c r="A11" t="str">
        <f>'Ind T2'!A11</f>
        <v>Water and sewerage</v>
      </c>
      <c r="B11" s="31">
        <f>'Ind T2'!B11</f>
        <v>20.103999999973176</v>
      </c>
      <c r="C11" s="31">
        <f>'Ind T2'!C11</f>
        <v>23.151000000001176</v>
      </c>
      <c r="D11" s="31">
        <f>'Ind T2'!D11</f>
        <v>21.414000000082535</v>
      </c>
      <c r="E11" s="31">
        <f>'Ind T2'!E11</f>
        <v>22.676000000230591</v>
      </c>
      <c r="F11" s="31">
        <f>'Ind T2'!F11</f>
        <v>24.718000000210878</v>
      </c>
      <c r="H11" s="11">
        <f t="shared" ref="H11" si="5">C11-B11</f>
        <v>3.0470000000279995</v>
      </c>
      <c r="I11" s="30">
        <f t="shared" ref="I11" si="6">D11-C11</f>
        <v>-1.7369999999186412</v>
      </c>
      <c r="J11" s="11">
        <f t="shared" ref="J11" si="7">E11-D11</f>
        <v>1.2620000001480562</v>
      </c>
      <c r="K11" s="11">
        <f t="shared" ref="K11" si="8">F11-E11</f>
        <v>2.0419999999802876</v>
      </c>
      <c r="L11" s="30">
        <f t="shared" si="4"/>
        <v>3.3040000001283438</v>
      </c>
    </row>
    <row r="12" spans="1:12" x14ac:dyDescent="0.2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x14ac:dyDescent="0.2">
      <c r="A13" s="29" t="str">
        <f>'Ind T1'!A8</f>
        <v>Manufacturing</v>
      </c>
      <c r="B13" s="30">
        <f>'Ind T1'!B8</f>
        <v>227.85299999965017</v>
      </c>
      <c r="C13" s="30">
        <f>'Ind T1'!C8</f>
        <v>237.47200000023375</v>
      </c>
      <c r="D13" s="30">
        <f>'Ind T1'!D8</f>
        <v>237.5010000003135</v>
      </c>
      <c r="E13" s="30">
        <f>'Ind T1'!E8</f>
        <v>225.78700000207951</v>
      </c>
      <c r="F13" s="30">
        <f>'Ind T1'!F8</f>
        <v>210.03700000107335</v>
      </c>
      <c r="H13" s="30">
        <f t="shared" si="0"/>
        <v>9.6190000005835827</v>
      </c>
      <c r="I13" s="30">
        <f t="shared" si="1"/>
        <v>2.9000000079747679E-2</v>
      </c>
      <c r="J13" s="30">
        <f t="shared" si="2"/>
        <v>-11.713999998233987</v>
      </c>
      <c r="K13" s="30">
        <f t="shared" si="3"/>
        <v>-15.750000001006157</v>
      </c>
      <c r="L13" s="30">
        <f t="shared" si="4"/>
        <v>-27.463999999240144</v>
      </c>
    </row>
    <row r="14" spans="1:12" x14ac:dyDescent="0.2">
      <c r="A14" t="str">
        <f>'Ind T2'!A7</f>
        <v>Food drink and tobacco</v>
      </c>
      <c r="B14" s="31">
        <f>'Ind T2'!B7</f>
        <v>35.168999999962189</v>
      </c>
      <c r="C14" s="31">
        <f>'Ind T2'!C7</f>
        <v>34.708000000168767</v>
      </c>
      <c r="D14" s="31">
        <f>'Ind T2'!D7</f>
        <v>35.4290000002201</v>
      </c>
      <c r="E14" s="31">
        <f>'Ind T2'!E7</f>
        <v>33.077000000638492</v>
      </c>
      <c r="F14" s="31">
        <f>'Ind T2'!F7</f>
        <v>27.499000000160599</v>
      </c>
      <c r="H14" s="11">
        <f t="shared" si="0"/>
        <v>-0.46099999979342243</v>
      </c>
      <c r="I14" s="30">
        <f t="shared" si="1"/>
        <v>0.72100000005133325</v>
      </c>
      <c r="J14" s="11">
        <f t="shared" si="2"/>
        <v>-2.3519999995816079</v>
      </c>
      <c r="K14" s="11">
        <f t="shared" si="3"/>
        <v>-5.5780000004778927</v>
      </c>
      <c r="L14" s="30">
        <f t="shared" si="4"/>
        <v>-7.9300000000595006</v>
      </c>
    </row>
    <row r="15" spans="1:12" x14ac:dyDescent="0.2">
      <c r="A15" t="str">
        <f>'Ind T2'!A8</f>
        <v>Engineering</v>
      </c>
      <c r="B15" s="31">
        <f>'Ind T2'!B8</f>
        <v>43.699999999860829</v>
      </c>
      <c r="C15" s="31">
        <f>'Ind T2'!C8</f>
        <v>43.207999999971001</v>
      </c>
      <c r="D15" s="31">
        <f>'Ind T2'!D8</f>
        <v>42.102999999961355</v>
      </c>
      <c r="E15" s="31">
        <f>'Ind T2'!E8</f>
        <v>40.544000000358835</v>
      </c>
      <c r="F15" s="31">
        <f>'Ind T2'!F8</f>
        <v>33.749000000190293</v>
      </c>
      <c r="H15" s="11">
        <f t="shared" si="0"/>
        <v>-0.49199999988982768</v>
      </c>
      <c r="I15" s="30">
        <f t="shared" si="1"/>
        <v>-1.105000000009646</v>
      </c>
      <c r="J15" s="11">
        <f t="shared" si="2"/>
        <v>-1.5589999996025199</v>
      </c>
      <c r="K15" s="11">
        <f t="shared" si="3"/>
        <v>-6.7950000001685424</v>
      </c>
      <c r="L15" s="30">
        <f t="shared" si="4"/>
        <v>-8.3539999997710623</v>
      </c>
    </row>
    <row r="16" spans="1:12" x14ac:dyDescent="0.2">
      <c r="A16" t="str">
        <f>'Ind T2'!A9</f>
        <v>Rest of manufacturing</v>
      </c>
      <c r="B16" s="31">
        <f>'Ind T2'!B9</f>
        <v>148.98399999982718</v>
      </c>
      <c r="C16" s="31">
        <f>'Ind T2'!C9</f>
        <v>159.55600000009395</v>
      </c>
      <c r="D16" s="31">
        <f>'Ind T2'!D9</f>
        <v>159.96900000013201</v>
      </c>
      <c r="E16" s="31">
        <f>'Ind T2'!E9</f>
        <v>152.16600000108218</v>
      </c>
      <c r="F16" s="31">
        <f>'Ind T2'!F9</f>
        <v>148.78900000072247</v>
      </c>
      <c r="H16" s="11">
        <f t="shared" si="0"/>
        <v>10.572000000266769</v>
      </c>
      <c r="I16" s="30">
        <f t="shared" si="1"/>
        <v>0.41300000003806758</v>
      </c>
      <c r="J16" s="11">
        <f t="shared" si="2"/>
        <v>-7.8029999990498311</v>
      </c>
      <c r="K16" s="11">
        <f t="shared" si="3"/>
        <v>-3.3770000003597147</v>
      </c>
      <c r="L16" s="30">
        <f t="shared" si="4"/>
        <v>-11.179999999409546</v>
      </c>
    </row>
    <row r="17" spans="1:12" x14ac:dyDescent="0.2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x14ac:dyDescent="0.2">
      <c r="A18" s="29" t="str">
        <f>'Ind T1'!A9</f>
        <v>Construction</v>
      </c>
      <c r="B18" s="30">
        <f>'Ind T1'!B9</f>
        <v>196.54299999680481</v>
      </c>
      <c r="C18" s="30">
        <f>'Ind T1'!C9</f>
        <v>228.11900000249298</v>
      </c>
      <c r="D18" s="30">
        <f>'Ind T1'!D9</f>
        <v>224.53699999893024</v>
      </c>
      <c r="E18" s="30">
        <f>'Ind T1'!E9</f>
        <v>243.5649999935537</v>
      </c>
      <c r="F18" s="30">
        <f>'Ind T1'!F9</f>
        <v>269.70699999639885</v>
      </c>
      <c r="H18" s="30">
        <f t="shared" si="0"/>
        <v>31.576000005688172</v>
      </c>
      <c r="I18" s="30">
        <f t="shared" si="1"/>
        <v>-3.5820000035627402</v>
      </c>
      <c r="J18" s="30">
        <f t="shared" si="2"/>
        <v>19.027999994623457</v>
      </c>
      <c r="K18" s="30">
        <f t="shared" si="3"/>
        <v>26.142000002845151</v>
      </c>
      <c r="L18" s="30">
        <f t="shared" si="4"/>
        <v>45.169999997468608</v>
      </c>
    </row>
    <row r="19" spans="1:12" x14ac:dyDescent="0.2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x14ac:dyDescent="0.2">
      <c r="A20" s="29" t="str">
        <f>'Ind T1'!A10</f>
        <v>Trade, accomod. and transport</v>
      </c>
      <c r="B20" s="30">
        <f>'Ind T1'!B10</f>
        <v>756.45700000375086</v>
      </c>
      <c r="C20" s="30">
        <f>'Ind T1'!C10</f>
        <v>798.28900001216675</v>
      </c>
      <c r="D20" s="30">
        <f>'Ind T1'!D10</f>
        <v>796.18700001213915</v>
      </c>
      <c r="E20" s="30">
        <f>'Ind T1'!E10</f>
        <v>820.05200002800905</v>
      </c>
      <c r="F20" s="30">
        <f>'Ind T1'!F10</f>
        <v>859.45200000068598</v>
      </c>
      <c r="H20" s="30">
        <f t="shared" si="0"/>
        <v>41.832000008415889</v>
      </c>
      <c r="I20" s="30">
        <f t="shared" si="1"/>
        <v>-2.1020000000276013</v>
      </c>
      <c r="J20" s="30">
        <f t="shared" si="2"/>
        <v>23.865000015869896</v>
      </c>
      <c r="K20" s="30">
        <f t="shared" si="3"/>
        <v>39.399999972676937</v>
      </c>
      <c r="L20" s="30">
        <f t="shared" si="4"/>
        <v>63.264999988546833</v>
      </c>
    </row>
    <row r="21" spans="1:12" x14ac:dyDescent="0.2">
      <c r="A21" s="10" t="str">
        <f>'Ind T2'!A13</f>
        <v>Wholesale and retail trade</v>
      </c>
      <c r="B21" s="31">
        <f>'Ind T2'!B13</f>
        <v>426.89000000290804</v>
      </c>
      <c r="C21" s="31">
        <f>'Ind T2'!C13</f>
        <v>426.22400000767186</v>
      </c>
      <c r="D21" s="31">
        <f>'Ind T2'!D13</f>
        <v>434.84900000751452</v>
      </c>
      <c r="E21" s="31">
        <f>'Ind T2'!E13</f>
        <v>436.71000001629199</v>
      </c>
      <c r="F21" s="31">
        <f>'Ind T2'!F13</f>
        <v>439.50300000112668</v>
      </c>
      <c r="H21" s="11">
        <f t="shared" si="0"/>
        <v>-0.66599999523617726</v>
      </c>
      <c r="I21" s="30">
        <f t="shared" si="1"/>
        <v>8.6249999998426574</v>
      </c>
      <c r="J21" s="11">
        <f t="shared" si="2"/>
        <v>1.8610000087774665</v>
      </c>
      <c r="K21" s="11">
        <f t="shared" si="3"/>
        <v>2.7929999848346938</v>
      </c>
      <c r="L21" s="30">
        <f t="shared" si="4"/>
        <v>4.6539999936121603</v>
      </c>
    </row>
    <row r="22" spans="1:12" x14ac:dyDescent="0.2">
      <c r="A22" s="10" t="str">
        <f>'Ind T2'!A14</f>
        <v>Transport and storage</v>
      </c>
      <c r="B22" s="31">
        <f>'Ind T2'!B14</f>
        <v>112.92500000019085</v>
      </c>
      <c r="C22" s="31">
        <f>'Ind T2'!C14</f>
        <v>111.56700000009519</v>
      </c>
      <c r="D22" s="31">
        <f>'Ind T2'!D14</f>
        <v>110.01100000134025</v>
      </c>
      <c r="E22" s="31">
        <f>'Ind T2'!E14</f>
        <v>113.42100000278673</v>
      </c>
      <c r="F22" s="31">
        <f>'Ind T2'!F14</f>
        <v>113.54800000141022</v>
      </c>
      <c r="H22" s="11">
        <f t="shared" si="0"/>
        <v>-1.3580000000956574</v>
      </c>
      <c r="I22" s="30">
        <f t="shared" si="1"/>
        <v>-1.5559999987549418</v>
      </c>
      <c r="J22" s="11">
        <f t="shared" si="2"/>
        <v>3.4100000014464769</v>
      </c>
      <c r="K22" s="11">
        <f t="shared" si="3"/>
        <v>0.12699999862348932</v>
      </c>
      <c r="L22" s="30">
        <f t="shared" si="4"/>
        <v>3.5370000000699662</v>
      </c>
    </row>
    <row r="23" spans="1:12" x14ac:dyDescent="0.2">
      <c r="A23" s="10" t="str">
        <f>'Ind T2'!A15</f>
        <v>Accommodation and food</v>
      </c>
      <c r="B23" s="31">
        <f>'Ind T2'!B15</f>
        <v>216.64200000065208</v>
      </c>
      <c r="C23" s="31">
        <f>'Ind T2'!C15</f>
        <v>260.49800000439961</v>
      </c>
      <c r="D23" s="31">
        <f>'Ind T2'!D15</f>
        <v>251.32700000328433</v>
      </c>
      <c r="E23" s="31">
        <f>'Ind T2'!E15</f>
        <v>269.92100000893032</v>
      </c>
      <c r="F23" s="31">
        <f>'Ind T2'!F15</f>
        <v>306.40099999814913</v>
      </c>
      <c r="H23" s="11">
        <f t="shared" si="0"/>
        <v>43.856000003747539</v>
      </c>
      <c r="I23" s="30">
        <f t="shared" si="1"/>
        <v>-9.1710000011152886</v>
      </c>
      <c r="J23" s="11">
        <f t="shared" si="2"/>
        <v>18.594000005645995</v>
      </c>
      <c r="K23" s="11">
        <f t="shared" si="3"/>
        <v>36.479999989218811</v>
      </c>
      <c r="L23" s="30">
        <f t="shared" si="4"/>
        <v>55.073999994864806</v>
      </c>
    </row>
    <row r="24" spans="1:12" x14ac:dyDescent="0.2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x14ac:dyDescent="0.2">
      <c r="A25" s="29" t="str">
        <f>'Ind T1'!A11</f>
        <v>Business and other services</v>
      </c>
      <c r="B25" s="30">
        <f>'Ind T1'!B11</f>
        <v>823.46400000028689</v>
      </c>
      <c r="C25" s="30">
        <f>'Ind T1'!C11</f>
        <v>867.41799999604859</v>
      </c>
      <c r="D25" s="30">
        <f>'Ind T1'!D11</f>
        <v>846.59999999271054</v>
      </c>
      <c r="E25" s="30">
        <f>'Ind T1'!E11</f>
        <v>896.15000000098019</v>
      </c>
      <c r="F25" s="30">
        <f>'Ind T1'!F11</f>
        <v>955.25600000029215</v>
      </c>
      <c r="H25" s="30">
        <f t="shared" si="0"/>
        <v>43.953999995761706</v>
      </c>
      <c r="I25" s="30">
        <f t="shared" si="1"/>
        <v>-20.818000003338057</v>
      </c>
      <c r="J25" s="30">
        <f t="shared" si="2"/>
        <v>49.550000008269649</v>
      </c>
      <c r="K25" s="30">
        <f t="shared" si="3"/>
        <v>59.105999999311962</v>
      </c>
      <c r="L25" s="30">
        <f t="shared" si="4"/>
        <v>108.65600000758161</v>
      </c>
    </row>
    <row r="26" spans="1:12" x14ac:dyDescent="0.2">
      <c r="A26" s="10" t="str">
        <f>'Ind T2'!A16</f>
        <v>Media</v>
      </c>
      <c r="B26" s="11">
        <f>'Ind T2'!B16</f>
        <v>16.059000000106227</v>
      </c>
      <c r="C26" s="11">
        <f>'Ind T2'!C16</f>
        <v>23.416999999887029</v>
      </c>
      <c r="D26" s="11">
        <f>'Ind T2'!D16</f>
        <v>21.507999999811087</v>
      </c>
      <c r="E26" s="11">
        <f>'Ind T2'!E16</f>
        <v>20.82799999995634</v>
      </c>
      <c r="F26" s="11">
        <f>'Ind T2'!F16</f>
        <v>20.314000000065871</v>
      </c>
      <c r="H26" s="11">
        <f t="shared" si="0"/>
        <v>7.3579999997808017</v>
      </c>
      <c r="I26" s="30">
        <f t="shared" si="1"/>
        <v>-1.9090000000759417</v>
      </c>
      <c r="J26" s="11">
        <f t="shared" si="2"/>
        <v>-0.67999999985474702</v>
      </c>
      <c r="K26" s="11">
        <f t="shared" si="3"/>
        <v>-0.51399999989046918</v>
      </c>
      <c r="L26" s="30">
        <f t="shared" si="4"/>
        <v>-1.1939999997452162</v>
      </c>
    </row>
    <row r="27" spans="1:12" x14ac:dyDescent="0.2">
      <c r="A27" s="10" t="str">
        <f>'Ind T2'!A17</f>
        <v>Information technology</v>
      </c>
      <c r="B27" s="11">
        <f>'Ind T2'!B17</f>
        <v>75.578999999644935</v>
      </c>
      <c r="C27" s="11">
        <f>'Ind T2'!C17</f>
        <v>69.279999999191404</v>
      </c>
      <c r="D27" s="11">
        <f>'Ind T2'!D17</f>
        <v>67.076999998766766</v>
      </c>
      <c r="E27" s="11">
        <f>'Ind T2'!E17</f>
        <v>70.876999999444095</v>
      </c>
      <c r="F27" s="11">
        <f>'Ind T2'!F17</f>
        <v>74.937999998995338</v>
      </c>
      <c r="H27" s="11">
        <f t="shared" si="0"/>
        <v>-6.2990000004535318</v>
      </c>
      <c r="I27" s="30">
        <f t="shared" si="1"/>
        <v>-2.2030000004246375</v>
      </c>
      <c r="J27" s="11">
        <f t="shared" si="2"/>
        <v>3.8000000006773291</v>
      </c>
      <c r="K27" s="11">
        <f t="shared" si="3"/>
        <v>4.0609999995512425</v>
      </c>
      <c r="L27" s="30">
        <f t="shared" si="4"/>
        <v>7.8610000002285716</v>
      </c>
    </row>
    <row r="28" spans="1:12" x14ac:dyDescent="0.2">
      <c r="A28" s="10" t="str">
        <f>'Ind T2'!A18</f>
        <v>Finance and insurance</v>
      </c>
      <c r="B28" s="11">
        <f>'Ind T2'!B18</f>
        <v>87.282999999513919</v>
      </c>
      <c r="C28" s="11">
        <f>'Ind T2'!C18</f>
        <v>77.346999999310384</v>
      </c>
      <c r="D28" s="11">
        <f>'Ind T2'!D18</f>
        <v>86.266999998916845</v>
      </c>
      <c r="E28" s="11">
        <f>'Ind T2'!E18</f>
        <v>86.220000000026459</v>
      </c>
      <c r="F28" s="11">
        <f>'Ind T2'!F18</f>
        <v>82.849999999566734</v>
      </c>
      <c r="H28" s="11">
        <f t="shared" si="0"/>
        <v>-9.9360000002035349</v>
      </c>
      <c r="I28" s="30">
        <f t="shared" si="1"/>
        <v>8.9199999996064605</v>
      </c>
      <c r="J28" s="11">
        <f t="shared" si="2"/>
        <v>-4.6999998890385086E-2</v>
      </c>
      <c r="K28" s="11">
        <f t="shared" si="3"/>
        <v>-3.3700000004597257</v>
      </c>
      <c r="L28" s="30">
        <f t="shared" si="4"/>
        <v>-3.4169999993501108</v>
      </c>
    </row>
    <row r="29" spans="1:12" x14ac:dyDescent="0.2">
      <c r="A29" s="10" t="str">
        <f>'Ind T2'!A19</f>
        <v>Real estate</v>
      </c>
      <c r="B29" s="11">
        <f>'Ind T2'!B19</f>
        <v>51.210999999881601</v>
      </c>
      <c r="C29" s="11">
        <f>'Ind T2'!C19</f>
        <v>55.55400000008057</v>
      </c>
      <c r="D29" s="11">
        <f>'Ind T2'!D19</f>
        <v>57.623999999695421</v>
      </c>
      <c r="E29" s="11">
        <f>'Ind T2'!E19</f>
        <v>51.782000000391605</v>
      </c>
      <c r="F29" s="11">
        <f>'Ind T2'!F19</f>
        <v>52.122999999801053</v>
      </c>
      <c r="H29" s="11">
        <f t="shared" ref="H29:H31" si="9">C29-B29</f>
        <v>4.3430000001989697</v>
      </c>
      <c r="I29" s="30">
        <f t="shared" ref="I29:I31" si="10">D29-C29</f>
        <v>2.0699999996148506</v>
      </c>
      <c r="J29" s="11">
        <f t="shared" ref="J29:J31" si="11">E29-D29</f>
        <v>-5.8419999993038161</v>
      </c>
      <c r="K29" s="11">
        <f t="shared" ref="K29:K31" si="12">F29-E29</f>
        <v>0.3409999994094477</v>
      </c>
      <c r="L29" s="30">
        <f t="shared" si="4"/>
        <v>-5.5009999998943684</v>
      </c>
    </row>
    <row r="30" spans="1:12" x14ac:dyDescent="0.2">
      <c r="A30" s="10" t="str">
        <f>'Ind T2'!A20</f>
        <v>Professional services</v>
      </c>
      <c r="B30" s="11">
        <f>'Ind T2'!B20</f>
        <v>235.29199999952161</v>
      </c>
      <c r="C30" s="11">
        <f>'Ind T2'!C20</f>
        <v>262.60599999601567</v>
      </c>
      <c r="D30" s="11">
        <f>'Ind T2'!D20</f>
        <v>256.70799999545994</v>
      </c>
      <c r="E30" s="11">
        <f>'Ind T2'!E20</f>
        <v>271.15499999747266</v>
      </c>
      <c r="F30" s="11">
        <f>'Ind T2'!F20</f>
        <v>292.39199999941894</v>
      </c>
      <c r="H30" s="11">
        <f t="shared" si="9"/>
        <v>27.313999996494061</v>
      </c>
      <c r="I30" s="30">
        <f t="shared" si="10"/>
        <v>-5.8980000005557258</v>
      </c>
      <c r="J30" s="11">
        <f t="shared" si="11"/>
        <v>14.447000002012715</v>
      </c>
      <c r="K30" s="11">
        <f t="shared" si="12"/>
        <v>21.237000001946285</v>
      </c>
      <c r="L30" s="30">
        <f t="shared" si="4"/>
        <v>35.684000003959</v>
      </c>
    </row>
    <row r="31" spans="1:12" x14ac:dyDescent="0.2">
      <c r="A31" s="10" t="str">
        <f>'Ind T2'!A21</f>
        <v>Support services</v>
      </c>
      <c r="B31" s="11">
        <f>'Ind T2'!B21</f>
        <v>200.57000000032983</v>
      </c>
      <c r="C31" s="11">
        <f>'Ind T2'!C21</f>
        <v>204.11500000118673</v>
      </c>
      <c r="D31" s="11">
        <f>'Ind T2'!D21</f>
        <v>197.53200000062296</v>
      </c>
      <c r="E31" s="11">
        <f>'Ind T2'!E21</f>
        <v>218.57200000236838</v>
      </c>
      <c r="F31" s="11">
        <f>'Ind T2'!F21</f>
        <v>239.20700000090218</v>
      </c>
      <c r="H31" s="11">
        <f t="shared" si="9"/>
        <v>3.545000000856902</v>
      </c>
      <c r="I31" s="30">
        <f t="shared" si="10"/>
        <v>-6.5830000005637714</v>
      </c>
      <c r="J31" s="11">
        <f t="shared" si="11"/>
        <v>21.040000001745426</v>
      </c>
      <c r="K31" s="11">
        <f t="shared" si="12"/>
        <v>20.6349999985338</v>
      </c>
      <c r="L31" s="30">
        <f t="shared" si="4"/>
        <v>41.675000000279226</v>
      </c>
    </row>
    <row r="32" spans="1:12" x14ac:dyDescent="0.2">
      <c r="A32" s="10" t="str">
        <f>'Ind T2'!A25</f>
        <v>Arts and entertainment</v>
      </c>
      <c r="B32" s="11">
        <f>'Ind T2'!B25</f>
        <v>84.311000000941021</v>
      </c>
      <c r="C32" s="11">
        <f>'Ind T2'!C25</f>
        <v>91.03600000002406</v>
      </c>
      <c r="D32" s="11">
        <f>'Ind T2'!D25</f>
        <v>82.259999999820252</v>
      </c>
      <c r="E32" s="11">
        <f>'Ind T2'!E25</f>
        <v>96.236000000764335</v>
      </c>
      <c r="F32" s="11">
        <f>'Ind T2'!F25</f>
        <v>110.89700000135923</v>
      </c>
      <c r="H32" s="11">
        <f t="shared" ref="H32" si="13">C32-B32</f>
        <v>6.7249999990830389</v>
      </c>
      <c r="I32" s="30">
        <f t="shared" ref="I32:I33" si="14">D32-C32</f>
        <v>-8.7760000002038083</v>
      </c>
      <c r="J32" s="11">
        <f t="shared" ref="J32:J33" si="15">E32-D32</f>
        <v>13.976000000944083</v>
      </c>
      <c r="K32" s="11">
        <f t="shared" ref="K32:K33" si="16">F32-E32</f>
        <v>14.661000000594896</v>
      </c>
      <c r="L32" s="30">
        <f t="shared" si="4"/>
        <v>28.637000001538979</v>
      </c>
    </row>
    <row r="33" spans="1:12" x14ac:dyDescent="0.2">
      <c r="A33" s="10" t="str">
        <f>'Ind T2'!A26</f>
        <v>Other services</v>
      </c>
      <c r="B33" s="11">
        <f>'Ind T2'!B26</f>
        <v>73.159000000347774</v>
      </c>
      <c r="C33" s="11">
        <f>'Ind T2'!C26</f>
        <v>84.063000000352474</v>
      </c>
      <c r="D33" s="11">
        <f>'Ind T2'!D26</f>
        <v>77.623999999617325</v>
      </c>
      <c r="E33" s="11">
        <f>'Ind T2'!E26</f>
        <v>80.480000000556501</v>
      </c>
      <c r="F33" s="11">
        <f>'Ind T2'!F26</f>
        <v>82.535000000182862</v>
      </c>
      <c r="H33" s="11">
        <f>C33-B33</f>
        <v>10.9040000000047</v>
      </c>
      <c r="I33" s="30">
        <f t="shared" si="14"/>
        <v>-6.4390000007351489</v>
      </c>
      <c r="J33" s="11">
        <f t="shared" si="15"/>
        <v>2.8560000009391757</v>
      </c>
      <c r="K33" s="11">
        <f t="shared" si="16"/>
        <v>2.0549999996263608</v>
      </c>
      <c r="L33" s="30">
        <f t="shared" si="4"/>
        <v>4.9110000005655365</v>
      </c>
    </row>
    <row r="34" spans="1:12" x14ac:dyDescent="0.2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x14ac:dyDescent="0.2">
      <c r="A35" s="29" t="str">
        <f>'Ind T1'!A12</f>
        <v>Non-marketed services</v>
      </c>
      <c r="B35" s="30">
        <f>'Ind T1'!B12</f>
        <v>733.97999999676074</v>
      </c>
      <c r="C35" s="30">
        <f>'Ind T1'!C12</f>
        <v>745.36999998835552</v>
      </c>
      <c r="D35" s="30">
        <f>'Ind T1'!D12</f>
        <v>726.15999999232406</v>
      </c>
      <c r="E35" s="30">
        <f>'Ind T1'!E12</f>
        <v>772.82499996972399</v>
      </c>
      <c r="F35" s="30">
        <f>'Ind T1'!F12</f>
        <v>842.91999999948928</v>
      </c>
      <c r="H35" s="30">
        <f t="shared" si="0"/>
        <v>11.389999991594777</v>
      </c>
      <c r="I35" s="30">
        <f t="shared" si="1"/>
        <v>-19.209999996031456</v>
      </c>
      <c r="J35" s="30">
        <f t="shared" si="2"/>
        <v>46.66499997739993</v>
      </c>
      <c r="K35" s="30">
        <f t="shared" si="3"/>
        <v>70.095000029765288</v>
      </c>
      <c r="L35" s="30">
        <f t="shared" si="4"/>
        <v>116.76000000716522</v>
      </c>
    </row>
    <row r="36" spans="1:12" x14ac:dyDescent="0.2">
      <c r="A36" s="10" t="str">
        <f>'Ind T2'!A22</f>
        <v>Public admin. and defence</v>
      </c>
      <c r="B36" s="31">
        <f>'Ind T2'!B22</f>
        <v>100.1109999998435</v>
      </c>
      <c r="C36" s="31">
        <f>'Ind T2'!C22</f>
        <v>102.72299999914765</v>
      </c>
      <c r="D36" s="31">
        <f>'Ind T2'!D22</f>
        <v>108.89599999894065</v>
      </c>
      <c r="E36" s="31">
        <f>'Ind T2'!E22</f>
        <v>114.74699999841178</v>
      </c>
      <c r="F36" s="31">
        <f>'Ind T2'!F22</f>
        <v>117.07899999978541</v>
      </c>
      <c r="H36" s="11">
        <f t="shared" si="0"/>
        <v>2.6119999993041461</v>
      </c>
      <c r="I36" s="30">
        <f t="shared" si="1"/>
        <v>6.1729999997930065</v>
      </c>
      <c r="J36" s="11">
        <f t="shared" si="2"/>
        <v>5.8509999994711279</v>
      </c>
      <c r="K36" s="11">
        <f t="shared" si="3"/>
        <v>2.3320000013736291</v>
      </c>
      <c r="L36" s="30">
        <f t="shared" si="4"/>
        <v>8.183000000844757</v>
      </c>
    </row>
    <row r="37" spans="1:12" x14ac:dyDescent="0.2">
      <c r="A37" s="10" t="str">
        <f>'Ind T2'!A23</f>
        <v>Education</v>
      </c>
      <c r="B37" s="31">
        <f>'Ind T2'!B23</f>
        <v>240.68400000146443</v>
      </c>
      <c r="C37" s="31">
        <f>'Ind T2'!C23</f>
        <v>251.84399999475124</v>
      </c>
      <c r="D37" s="31">
        <f>'Ind T2'!D23</f>
        <v>241.88599999586123</v>
      </c>
      <c r="E37" s="31">
        <f>'Ind T2'!E23</f>
        <v>246.96599997720921</v>
      </c>
      <c r="F37" s="31">
        <f>'Ind T2'!F23</f>
        <v>261.08100000144287</v>
      </c>
      <c r="H37" s="11">
        <f t="shared" si="0"/>
        <v>11.159999993286817</v>
      </c>
      <c r="I37" s="30">
        <f t="shared" si="1"/>
        <v>-9.957999998890017</v>
      </c>
      <c r="J37" s="11">
        <f t="shared" si="2"/>
        <v>5.0799999813479815</v>
      </c>
      <c r="K37" s="11">
        <f t="shared" si="3"/>
        <v>14.115000024233666</v>
      </c>
      <c r="L37" s="30">
        <f t="shared" si="4"/>
        <v>19.195000005581647</v>
      </c>
    </row>
    <row r="38" spans="1:12" x14ac:dyDescent="0.2">
      <c r="A38" s="10" t="str">
        <f>'Ind T2'!A24</f>
        <v>Health and social work</v>
      </c>
      <c r="B38" s="31">
        <f>'Ind T2'!B24</f>
        <v>393.18499999545281</v>
      </c>
      <c r="C38" s="31">
        <f>'Ind T2'!C24</f>
        <v>390.80299999445668</v>
      </c>
      <c r="D38" s="31">
        <f>'Ind T2'!D24</f>
        <v>375.37799999752207</v>
      </c>
      <c r="E38" s="31">
        <f>'Ind T2'!E24</f>
        <v>411.11199999410314</v>
      </c>
      <c r="F38" s="31">
        <f>'Ind T2'!F24</f>
        <v>464.75999999826104</v>
      </c>
      <c r="H38" s="11">
        <f t="shared" si="0"/>
        <v>-2.3820000009961291</v>
      </c>
      <c r="I38" s="30">
        <f t="shared" si="1"/>
        <v>-15.424999996934616</v>
      </c>
      <c r="J38" s="11">
        <f t="shared" si="2"/>
        <v>35.733999996581076</v>
      </c>
      <c r="K38" s="11">
        <f t="shared" si="3"/>
        <v>53.648000004157893</v>
      </c>
      <c r="L38" s="30">
        <f t="shared" si="4"/>
        <v>89.382000000738969</v>
      </c>
    </row>
    <row r="39" spans="1:12" x14ac:dyDescent="0.2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x14ac:dyDescent="0.2">
      <c r="A40" s="38" t="str">
        <f>'Ind T1'!A14</f>
        <v>All industries</v>
      </c>
      <c r="B40" s="32">
        <f>'Ind T1'!B14</f>
        <v>2817.851999997114</v>
      </c>
      <c r="C40" s="32">
        <f>'Ind T1'!C14</f>
        <v>2962.1069999996525</v>
      </c>
      <c r="D40" s="32">
        <f>'Ind T1'!D14</f>
        <v>2929.5869999964657</v>
      </c>
      <c r="E40" s="32">
        <f>'Ind T1'!E14</f>
        <v>3058.6549999943345</v>
      </c>
      <c r="F40" s="32">
        <f>'Ind T1'!F14</f>
        <v>3240.0929999972936</v>
      </c>
      <c r="G40" s="23"/>
      <c r="H40" s="33">
        <f t="shared" si="0"/>
        <v>144.25500000253851</v>
      </c>
      <c r="I40" s="33">
        <f>D40-C40</f>
        <v>-32.520000003186851</v>
      </c>
      <c r="J40" s="33">
        <f>E40-D40</f>
        <v>129.06799999786881</v>
      </c>
      <c r="K40" s="33">
        <f>F40-E40</f>
        <v>181.43800000295914</v>
      </c>
      <c r="L40" s="205">
        <f t="shared" si="4"/>
        <v>310.50600000082795</v>
      </c>
    </row>
    <row r="44" spans="1:12" ht="15.75" x14ac:dyDescent="0.25">
      <c r="A44" s="18" t="str">
        <f>CONCATENATE(A1," (Continued)")</f>
        <v>Industry Table 4  Employment by Industry Group in Sector (SIC 2007), 2015-2035, South West (Continued)</v>
      </c>
    </row>
    <row r="46" spans="1:12" x14ac:dyDescent="0.2">
      <c r="L46" s="15" t="s">
        <v>20</v>
      </c>
    </row>
    <row r="47" spans="1:12" x14ac:dyDescent="0.2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2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x14ac:dyDescent="0.2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1.7998572804779345</v>
      </c>
      <c r="C50" s="43">
        <f t="shared" si="17"/>
        <v>15.406313275715554</v>
      </c>
      <c r="D50" s="43">
        <f t="shared" si="17"/>
        <v>0.33726423634328206</v>
      </c>
      <c r="E50" s="43">
        <f t="shared" si="17"/>
        <v>0.24119231088441939</v>
      </c>
      <c r="F50" s="43">
        <f>IF(AND(F$5-D$5 &lt;&gt; 0,D7&lt;&gt;0,F7&lt;&gt;0),(EXP(LN(F7/D7)/(F$5-D$5))-1)*100,0)</f>
        <v>0.27320606080696308</v>
      </c>
      <c r="H50" s="43">
        <f>(B7/B$40)*100</f>
        <v>2.8232497661318554</v>
      </c>
      <c r="I50" s="43">
        <f>(C7/C$40)*100</f>
        <v>2.8843995169777643</v>
      </c>
      <c r="J50" s="43">
        <f>(D7/D$40)*100</f>
        <v>3.3657303913543686</v>
      </c>
      <c r="K50" s="43">
        <f>(E7/E$40)*100</f>
        <v>3.2784344752897585</v>
      </c>
      <c r="L50" s="43">
        <f>(F7/F$40)*100</f>
        <v>3.1703102349049694</v>
      </c>
    </row>
    <row r="51" spans="1:12" x14ac:dyDescent="0.2">
      <c r="A51" t="str">
        <f>A8</f>
        <v>Agriculture</v>
      </c>
      <c r="B51" s="39">
        <f t="shared" si="17"/>
        <v>-2.0955135984268569E-2</v>
      </c>
      <c r="C51" s="43">
        <f t="shared" si="17"/>
        <v>22.261824890041382</v>
      </c>
      <c r="D51" s="39">
        <f t="shared" si="17"/>
        <v>0.69440783271090822</v>
      </c>
      <c r="E51" s="39">
        <f t="shared" si="17"/>
        <v>0.27374139225440075</v>
      </c>
      <c r="F51" s="43">
        <f t="shared" ref="F51:F83" si="18">IF(AND(F$5-D$5 &lt;&gt; 0,D8&lt;&gt;0,F8&lt;&gt;0),(EXP(LN(F8/D8)/(F$5-D$5))-1)*100,0)</f>
        <v>0.413767909070617</v>
      </c>
      <c r="H51" s="39">
        <f t="shared" ref="H51:L54" si="19">(B8/B$7)*100</f>
        <v>60.003770976086315</v>
      </c>
      <c r="I51" s="39">
        <f t="shared" si="19"/>
        <v>55.824623415732013</v>
      </c>
      <c r="J51" s="39">
        <f t="shared" si="19"/>
        <v>59.140788219277887</v>
      </c>
      <c r="K51" s="39">
        <f t="shared" si="19"/>
        <v>60.200845665537315</v>
      </c>
      <c r="L51" s="39">
        <f t="shared" si="19"/>
        <v>60.396608288099031</v>
      </c>
    </row>
    <row r="52" spans="1:12" x14ac:dyDescent="0.2">
      <c r="A52" t="str">
        <f>A9</f>
        <v>Mining and quarrying</v>
      </c>
      <c r="B52" s="39">
        <f t="shared" si="17"/>
        <v>-7.1706559485727244</v>
      </c>
      <c r="C52" s="43">
        <f t="shared" si="17"/>
        <v>1.3233601845229259</v>
      </c>
      <c r="D52" s="39">
        <f t="shared" si="17"/>
        <v>-4.890491627640559</v>
      </c>
      <c r="E52" s="39">
        <f t="shared" si="17"/>
        <v>-3.6237513356167095</v>
      </c>
      <c r="F52" s="43">
        <f t="shared" si="18"/>
        <v>-4.047861688957477</v>
      </c>
      <c r="H52" s="39">
        <f t="shared" si="19"/>
        <v>5.8839796367221631</v>
      </c>
      <c r="I52" s="39">
        <f t="shared" si="19"/>
        <v>4.0683996769408033</v>
      </c>
      <c r="J52" s="39">
        <f t="shared" si="19"/>
        <v>3.5719356605425174</v>
      </c>
      <c r="K52" s="39">
        <f t="shared" si="19"/>
        <v>2.7334556623924975</v>
      </c>
      <c r="L52" s="39">
        <f t="shared" si="19"/>
        <v>1.8448029127726684</v>
      </c>
    </row>
    <row r="53" spans="1:12" x14ac:dyDescent="0.2">
      <c r="A53" t="str">
        <f>A10</f>
        <v>Electricity and gas</v>
      </c>
      <c r="B53" s="39">
        <f t="shared" si="17"/>
        <v>12.120891822832537</v>
      </c>
      <c r="C53" s="43">
        <f t="shared" si="17"/>
        <v>38.107232817249034</v>
      </c>
      <c r="D53" s="39">
        <f t="shared" si="17"/>
        <v>-1.1463583740599526</v>
      </c>
      <c r="E53" s="39">
        <f t="shared" si="17"/>
        <v>-0.29650015189659484</v>
      </c>
      <c r="F53" s="43">
        <f t="shared" si="18"/>
        <v>-0.58059495583130394</v>
      </c>
      <c r="H53" s="39">
        <f t="shared" si="19"/>
        <v>8.8416818552846976</v>
      </c>
      <c r="I53" s="39">
        <f t="shared" si="19"/>
        <v>13.010451901293504</v>
      </c>
      <c r="J53" s="39">
        <f t="shared" si="19"/>
        <v>15.569663901287306</v>
      </c>
      <c r="K53" s="39">
        <f t="shared" si="19"/>
        <v>14.452112170581049</v>
      </c>
      <c r="L53" s="39">
        <f t="shared" si="19"/>
        <v>13.695349539029186</v>
      </c>
    </row>
    <row r="54" spans="1:12" x14ac:dyDescent="0.2">
      <c r="A54" t="str">
        <f>A11</f>
        <v>Water and sewerage</v>
      </c>
      <c r="B54" s="39">
        <f t="shared" si="17"/>
        <v>3.5909509495840597</v>
      </c>
      <c r="C54" s="43">
        <f t="shared" si="17"/>
        <v>-7.5029156404412429</v>
      </c>
      <c r="D54" s="39">
        <f t="shared" si="17"/>
        <v>1.1518266763323348</v>
      </c>
      <c r="E54" s="39">
        <f t="shared" si="17"/>
        <v>0.86597431745187858</v>
      </c>
      <c r="F54" s="43">
        <f t="shared" si="18"/>
        <v>0.9611685673671877</v>
      </c>
      <c r="H54" s="39">
        <f t="shared" si="19"/>
        <v>25.270567531906824</v>
      </c>
      <c r="I54" s="39">
        <f t="shared" si="19"/>
        <v>27.096525006033673</v>
      </c>
      <c r="J54" s="39">
        <f t="shared" si="19"/>
        <v>21.717612218892278</v>
      </c>
      <c r="K54" s="39">
        <f t="shared" si="19"/>
        <v>22.613586501489142</v>
      </c>
      <c r="L54" s="39">
        <f t="shared" si="19"/>
        <v>24.063239260099106</v>
      </c>
    </row>
    <row r="55" spans="1:12" x14ac:dyDescent="0.2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x14ac:dyDescent="0.2">
      <c r="A56" s="29" t="str">
        <f>A13</f>
        <v>Manufacturing</v>
      </c>
      <c r="B56" s="43">
        <f t="shared" ref="B56:E59" si="20">IF(AND(C$5-B$5 &lt;&gt; 0,B13&lt;&gt;0,C13&lt;&gt;0),(EXP(LN(C13/B13)/(C$5-B$5))-1)*100,0)</f>
        <v>1.0390873450018434</v>
      </c>
      <c r="C56" s="43">
        <f t="shared" si="20"/>
        <v>1.2211966075881264E-2</v>
      </c>
      <c r="D56" s="43">
        <f t="shared" si="20"/>
        <v>-1.0064957259829033</v>
      </c>
      <c r="E56" s="43">
        <f t="shared" si="20"/>
        <v>-0.72047575256563023</v>
      </c>
      <c r="F56" s="43">
        <f t="shared" si="18"/>
        <v>-0.81590744730979381</v>
      </c>
      <c r="H56" s="43">
        <f>(B13/B$40)*100</f>
        <v>8.0860527806245148</v>
      </c>
      <c r="I56" s="43">
        <f>(C13/C$40)*100</f>
        <v>8.0169960099436519</v>
      </c>
      <c r="J56" s="43">
        <f>(D13/D$40)*100</f>
        <v>8.1069789018247302</v>
      </c>
      <c r="K56" s="43">
        <f>(E13/E$40)*100</f>
        <v>7.3819047915668072</v>
      </c>
      <c r="L56" s="43">
        <f>(F13/F$40)*100</f>
        <v>6.4824373868666365</v>
      </c>
    </row>
    <row r="57" spans="1:12" x14ac:dyDescent="0.2">
      <c r="A57" t="str">
        <f>A14</f>
        <v>Food drink and tobacco</v>
      </c>
      <c r="B57" s="39">
        <f t="shared" si="20"/>
        <v>-0.32932664678351209</v>
      </c>
      <c r="C57" s="43">
        <f t="shared" si="20"/>
        <v>2.0773308748640806</v>
      </c>
      <c r="D57" s="39">
        <f t="shared" si="20"/>
        <v>-1.3644560862786648</v>
      </c>
      <c r="E57" s="39">
        <f t="shared" si="20"/>
        <v>-1.8299349486746719</v>
      </c>
      <c r="F57" s="43">
        <f t="shared" si="18"/>
        <v>-1.6750199165972868</v>
      </c>
      <c r="H57" s="39">
        <f t="shared" ref="H57:L59" si="21">(B14/B$13)*100</f>
        <v>15.434951481883576</v>
      </c>
      <c r="I57" s="39">
        <f t="shared" si="21"/>
        <v>14.615617841317968</v>
      </c>
      <c r="J57" s="39">
        <f t="shared" si="21"/>
        <v>14.917410874132461</v>
      </c>
      <c r="K57" s="39">
        <f t="shared" si="21"/>
        <v>14.649647676940592</v>
      </c>
      <c r="L57" s="39">
        <f t="shared" si="21"/>
        <v>13.092455138866043</v>
      </c>
    </row>
    <row r="58" spans="1:12" x14ac:dyDescent="0.2">
      <c r="A58" t="str">
        <f>A15</f>
        <v>Engineering</v>
      </c>
      <c r="B58" s="39">
        <f t="shared" si="20"/>
        <v>-0.28266073037671591</v>
      </c>
      <c r="C58" s="43">
        <f t="shared" si="20"/>
        <v>-2.5573967783984131</v>
      </c>
      <c r="D58" s="39">
        <f t="shared" si="20"/>
        <v>-0.75178372093960277</v>
      </c>
      <c r="E58" s="39">
        <f t="shared" si="20"/>
        <v>-1.8176480042473298</v>
      </c>
      <c r="F58" s="43">
        <f t="shared" si="18"/>
        <v>-1.4636378766887503</v>
      </c>
      <c r="H58" s="39">
        <f t="shared" si="21"/>
        <v>19.179032095222766</v>
      </c>
      <c r="I58" s="39">
        <f t="shared" si="21"/>
        <v>18.194987198460648</v>
      </c>
      <c r="J58" s="39">
        <f t="shared" si="21"/>
        <v>17.727504305205361</v>
      </c>
      <c r="K58" s="39">
        <f t="shared" si="21"/>
        <v>17.956746845471805</v>
      </c>
      <c r="L58" s="39">
        <f t="shared" si="21"/>
        <v>16.068121331012073</v>
      </c>
    </row>
    <row r="59" spans="1:12" x14ac:dyDescent="0.2">
      <c r="A59" t="str">
        <f>A16</f>
        <v>Rest of manufacturing</v>
      </c>
      <c r="B59" s="39">
        <f t="shared" si="20"/>
        <v>1.7286725564156447</v>
      </c>
      <c r="C59" s="43">
        <f t="shared" si="20"/>
        <v>0.25884329015382068</v>
      </c>
      <c r="D59" s="39">
        <f t="shared" si="20"/>
        <v>-0.9951753548792186</v>
      </c>
      <c r="E59" s="39">
        <f t="shared" si="20"/>
        <v>-0.22417670050068894</v>
      </c>
      <c r="F59" s="43">
        <f t="shared" si="18"/>
        <v>-0.48184108017523819</v>
      </c>
      <c r="H59" s="39">
        <f t="shared" si="21"/>
        <v>65.386016422893661</v>
      </c>
      <c r="I59" s="39">
        <f t="shared" si="21"/>
        <v>67.189394960221378</v>
      </c>
      <c r="J59" s="39">
        <f t="shared" si="21"/>
        <v>67.355084820662171</v>
      </c>
      <c r="K59" s="39">
        <f t="shared" si="21"/>
        <v>67.393605477587599</v>
      </c>
      <c r="L59" s="39">
        <f t="shared" si="21"/>
        <v>70.839423530121891</v>
      </c>
    </row>
    <row r="60" spans="1:12" x14ac:dyDescent="0.2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x14ac:dyDescent="0.2">
      <c r="A61" s="29" t="str">
        <f>A18</f>
        <v>Construction</v>
      </c>
      <c r="B61" s="43">
        <f>IF(AND(C$5-B$5 &lt;&gt; 0,B18&lt;&gt;0,C18&lt;&gt;0),(EXP(LN(C18/B18)/(C$5-B$5))-1)*100,0)</f>
        <v>3.7948891899535653</v>
      </c>
      <c r="C61" s="43">
        <f>IF(AND(D$5-C$5 &lt;&gt; 0,C18&lt;&gt;0,D18&lt;&gt;0),(EXP(LN(D18/C18)/(D$5-C$5))-1)*100,0)</f>
        <v>-1.570233081647554</v>
      </c>
      <c r="D61" s="43">
        <f>IF(AND(E$5-D$5 &lt;&gt; 0,D18&lt;&gt;0,E18&lt;&gt;0),(EXP(LN(E18/D18)/(E$5-D$5))-1)*100,0)</f>
        <v>1.6401723961841919</v>
      </c>
      <c r="E61" s="43">
        <f>IF(AND(F$5-E$5 &lt;&gt; 0,E18&lt;&gt;0,F18&lt;&gt;0),(EXP(LN(F18/E18)/(F$5-E$5))-1)*100,0)</f>
        <v>1.0247382190043064</v>
      </c>
      <c r="F61" s="43">
        <f t="shared" si="18"/>
        <v>1.2294677741013338</v>
      </c>
      <c r="H61" s="43">
        <f>(B18/B$40)*100</f>
        <v>6.9749227424650453</v>
      </c>
      <c r="I61" s="43">
        <f>(C18/C$40)*100</f>
        <v>7.7012410423566644</v>
      </c>
      <c r="J61" s="43">
        <f>(D18/D$40)*100</f>
        <v>7.6644591882473927</v>
      </c>
      <c r="K61" s="43">
        <f>(E18/E$40)*100</f>
        <v>7.9631406613039006</v>
      </c>
      <c r="L61" s="43">
        <f>(F18/F$40)*100</f>
        <v>8.3240511922535596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1.3547191875031173</v>
      </c>
      <c r="C63" s="43">
        <f t="shared" si="22"/>
        <v>-0.26331316102258251</v>
      </c>
      <c r="D63" s="43">
        <f t="shared" si="22"/>
        <v>0.5924213155993785</v>
      </c>
      <c r="E63" s="43">
        <f t="shared" si="22"/>
        <v>0.4703750458120437</v>
      </c>
      <c r="F63" s="43">
        <f t="shared" si="18"/>
        <v>0.51104067400875586</v>
      </c>
      <c r="H63" s="43">
        <f>(B20/B$40)*100</f>
        <v>26.845164331005517</v>
      </c>
      <c r="I63" s="43">
        <f>(C20/C$40)*100</f>
        <v>26.950039279886255</v>
      </c>
      <c r="J63" s="43">
        <f>(D20/D$40)*100</f>
        <v>27.177448562309287</v>
      </c>
      <c r="K63" s="43">
        <f>(E20/E$40)*100</f>
        <v>26.810869484447515</v>
      </c>
      <c r="L63" s="43">
        <f>(F20/F$40)*100</f>
        <v>26.525534915244837</v>
      </c>
    </row>
    <row r="64" spans="1:12" x14ac:dyDescent="0.2">
      <c r="A64" t="str">
        <f>A21</f>
        <v>Wholesale and retail trade</v>
      </c>
      <c r="B64" s="39">
        <f t="shared" si="22"/>
        <v>-3.9025860900654408E-2</v>
      </c>
      <c r="C64" s="43">
        <f t="shared" si="22"/>
        <v>2.0235838431640119</v>
      </c>
      <c r="D64" s="39">
        <f t="shared" si="22"/>
        <v>8.5446782483766803E-2</v>
      </c>
      <c r="E64" s="39">
        <f t="shared" si="22"/>
        <v>6.3772163413911009E-2</v>
      </c>
      <c r="F64" s="43">
        <f t="shared" si="18"/>
        <v>7.0996514844745562E-2</v>
      </c>
      <c r="H64" s="39">
        <f t="shared" ref="H64:L66" si="23">(B21/B$20)*100</f>
        <v>56.432817728012473</v>
      </c>
      <c r="I64" s="39">
        <f t="shared" si="23"/>
        <v>53.39219255196749</v>
      </c>
      <c r="J64" s="39">
        <f t="shared" si="23"/>
        <v>54.61644061016878</v>
      </c>
      <c r="K64" s="39">
        <f t="shared" si="23"/>
        <v>53.253939994216957</v>
      </c>
      <c r="L64" s="39">
        <f t="shared" si="23"/>
        <v>51.137585345170635</v>
      </c>
    </row>
    <row r="65" spans="1:12" x14ac:dyDescent="0.2">
      <c r="A65" t="str">
        <f>A22</f>
        <v>Transport and storage</v>
      </c>
      <c r="B65" s="39">
        <f>IF(AND(C$5-B$5 &lt;&gt; 0,B22&lt;&gt;0,C22&lt;&gt;0),(EXP(LN(C22/B22)/(C$5-B$5))-1)*100,0)</f>
        <v>-0.30200739356299744</v>
      </c>
      <c r="C65" s="43">
        <f t="shared" si="22"/>
        <v>-1.3946776365355462</v>
      </c>
      <c r="D65" s="39">
        <f t="shared" si="22"/>
        <v>0.61239146724212379</v>
      </c>
      <c r="E65" s="39">
        <f t="shared" si="22"/>
        <v>1.1191582850411663E-2</v>
      </c>
      <c r="F65" s="43">
        <f t="shared" si="18"/>
        <v>0.21119132350693182</v>
      </c>
      <c r="H65" s="39">
        <f t="shared" si="23"/>
        <v>14.928145287786473</v>
      </c>
      <c r="I65" s="39">
        <f t="shared" si="23"/>
        <v>13.975765668623117</v>
      </c>
      <c r="J65" s="39">
        <f t="shared" si="23"/>
        <v>13.817231379018114</v>
      </c>
      <c r="K65" s="39">
        <f t="shared" si="23"/>
        <v>13.830952183387494</v>
      </c>
      <c r="L65" s="39">
        <f t="shared" si="23"/>
        <v>13.211674415944067</v>
      </c>
    </row>
    <row r="66" spans="1:12" x14ac:dyDescent="0.2">
      <c r="A66" t="str">
        <f>A23</f>
        <v>Accommodation and food</v>
      </c>
      <c r="B66" s="39">
        <f t="shared" si="22"/>
        <v>4.7165762249328669</v>
      </c>
      <c r="C66" s="43">
        <f t="shared" si="22"/>
        <v>-3.5205644576773665</v>
      </c>
      <c r="D66" s="39">
        <f t="shared" si="22"/>
        <v>1.4377261469477043</v>
      </c>
      <c r="E66" s="39">
        <f t="shared" si="22"/>
        <v>1.2757225686184093</v>
      </c>
      <c r="F66" s="43">
        <f t="shared" si="18"/>
        <v>1.3296949929990864</v>
      </c>
      <c r="H66" s="39">
        <f t="shared" si="23"/>
        <v>28.639036984201066</v>
      </c>
      <c r="I66" s="39">
        <f t="shared" si="23"/>
        <v>32.632041779409384</v>
      </c>
      <c r="J66" s="39">
        <f t="shared" si="23"/>
        <v>31.566328010813095</v>
      </c>
      <c r="K66" s="39">
        <f t="shared" si="23"/>
        <v>32.915107822395548</v>
      </c>
      <c r="L66" s="39">
        <f t="shared" si="23"/>
        <v>35.650740238885312</v>
      </c>
    </row>
    <row r="67" spans="1:12" x14ac:dyDescent="0.2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x14ac:dyDescent="0.2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1.3085158631267468</v>
      </c>
      <c r="C68" s="43">
        <f t="shared" si="24"/>
        <v>-2.3999963112862455</v>
      </c>
      <c r="D68" s="43">
        <f t="shared" si="24"/>
        <v>1.1440847889083505</v>
      </c>
      <c r="E68" s="43">
        <f t="shared" si="24"/>
        <v>0.64075971477124405</v>
      </c>
      <c r="F68" s="43">
        <f t="shared" si="18"/>
        <v>0.8082558215800173</v>
      </c>
      <c r="H68" s="43">
        <f>(B25/B$40)*100</f>
        <v>29.223110369214929</v>
      </c>
      <c r="I68" s="43">
        <f>(C25/C$40)*100</f>
        <v>29.283817228619707</v>
      </c>
      <c r="J68" s="43">
        <f>(D25/D$40)*100</f>
        <v>28.898271326085617</v>
      </c>
      <c r="K68" s="43">
        <f>(E25/E$40)*100</f>
        <v>29.298825791161153</v>
      </c>
      <c r="L68" s="43">
        <f>(F25/F$40)*100</f>
        <v>29.48236362354692</v>
      </c>
    </row>
    <row r="69" spans="1:12" x14ac:dyDescent="0.2">
      <c r="A69" t="str">
        <f>A26</f>
        <v>Media</v>
      </c>
      <c r="B69" s="39">
        <f t="shared" si="24"/>
        <v>9.8887389191047337</v>
      </c>
      <c r="C69" s="43">
        <f t="shared" si="24"/>
        <v>-8.152197122112792</v>
      </c>
      <c r="D69" s="39">
        <f t="shared" si="24"/>
        <v>-0.64047463414386163</v>
      </c>
      <c r="E69" s="39">
        <f t="shared" si="24"/>
        <v>-0.24956737929012762</v>
      </c>
      <c r="F69" s="43">
        <f t="shared" si="18"/>
        <v>-0.38004038111678629</v>
      </c>
      <c r="H69" s="39">
        <f t="shared" ref="H69:L71" si="25">(B26/B$25)*100</f>
        <v>1.9501763283034392</v>
      </c>
      <c r="I69" s="39">
        <f t="shared" si="25"/>
        <v>2.6996211745656309</v>
      </c>
      <c r="J69" s="39">
        <f t="shared" si="25"/>
        <v>2.5405150011807556</v>
      </c>
      <c r="K69" s="39">
        <f t="shared" si="25"/>
        <v>2.32416448138521</v>
      </c>
      <c r="L69" s="39">
        <f t="shared" si="25"/>
        <v>2.1265503697500625</v>
      </c>
    </row>
    <row r="70" spans="1:12" x14ac:dyDescent="0.2">
      <c r="A70" t="str">
        <f>A27</f>
        <v>Information technology</v>
      </c>
      <c r="B70" s="39">
        <f t="shared" si="24"/>
        <v>-2.1520605522618697</v>
      </c>
      <c r="C70" s="43">
        <f t="shared" si="24"/>
        <v>-3.1798498851765999</v>
      </c>
      <c r="D70" s="39">
        <f t="shared" si="24"/>
        <v>1.108190785056351</v>
      </c>
      <c r="E70" s="39">
        <f t="shared" si="24"/>
        <v>0.55870622048914687</v>
      </c>
      <c r="F70" s="43">
        <f t="shared" si="18"/>
        <v>0.7415351336218734</v>
      </c>
      <c r="H70" s="39">
        <f t="shared" si="25"/>
        <v>9.1781790096007363</v>
      </c>
      <c r="I70" s="39">
        <f t="shared" si="25"/>
        <v>7.9869221067013827</v>
      </c>
      <c r="J70" s="39">
        <f t="shared" si="25"/>
        <v>7.9231041813541596</v>
      </c>
      <c r="K70" s="39">
        <f t="shared" si="25"/>
        <v>7.9090554036005773</v>
      </c>
      <c r="L70" s="39">
        <f t="shared" si="25"/>
        <v>7.8448080932202906</v>
      </c>
    </row>
    <row r="71" spans="1:12" x14ac:dyDescent="0.2">
      <c r="A71" t="str">
        <f>A28</f>
        <v>Finance and insurance</v>
      </c>
      <c r="B71" s="39">
        <f t="shared" si="24"/>
        <v>-2.9761615428338661</v>
      </c>
      <c r="C71" s="43">
        <f t="shared" si="24"/>
        <v>11.532444696867362</v>
      </c>
      <c r="D71" s="39">
        <f t="shared" si="24"/>
        <v>-1.0898778179102564E-2</v>
      </c>
      <c r="E71" s="39">
        <f t="shared" si="24"/>
        <v>-0.39791048438884147</v>
      </c>
      <c r="F71" s="43">
        <f t="shared" si="18"/>
        <v>-0.26907330748785485</v>
      </c>
      <c r="H71" s="39">
        <f t="shared" si="25"/>
        <v>10.599491902436963</v>
      </c>
      <c r="I71" s="39">
        <f t="shared" si="25"/>
        <v>8.9169235593062091</v>
      </c>
      <c r="J71" s="39">
        <f t="shared" si="25"/>
        <v>10.189818095872859</v>
      </c>
      <c r="K71" s="39">
        <f t="shared" si="25"/>
        <v>9.6211571723408085</v>
      </c>
      <c r="L71" s="39">
        <f t="shared" si="25"/>
        <v>8.6730677430491294</v>
      </c>
    </row>
    <row r="72" spans="1:12" x14ac:dyDescent="0.2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2.055877098786163</v>
      </c>
      <c r="C72" s="43">
        <f t="shared" si="27"/>
        <v>3.7261043302225794</v>
      </c>
      <c r="D72" s="39">
        <f t="shared" si="27"/>
        <v>-2.1152392354851335</v>
      </c>
      <c r="E72" s="39">
        <f t="shared" si="27"/>
        <v>6.5658661245571182E-2</v>
      </c>
      <c r="F72" s="43">
        <f t="shared" si="18"/>
        <v>-0.66665352317948345</v>
      </c>
      <c r="H72" s="39">
        <f t="shared" ref="H72:L72" si="28">(B29/B$25)*100</f>
        <v>6.2189725355162775</v>
      </c>
      <c r="I72" s="39">
        <f t="shared" si="28"/>
        <v>6.404524692862454</v>
      </c>
      <c r="J72" s="39">
        <f t="shared" si="28"/>
        <v>6.8065201984634518</v>
      </c>
      <c r="K72" s="39">
        <f t="shared" si="28"/>
        <v>5.7782737265340591</v>
      </c>
      <c r="L72" s="39">
        <f t="shared" si="28"/>
        <v>5.4564430895786176</v>
      </c>
    </row>
    <row r="73" spans="1:12" x14ac:dyDescent="0.2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2.7837292273000136</v>
      </c>
      <c r="C73" s="43">
        <f t="shared" si="29"/>
        <v>-2.2459502070193427</v>
      </c>
      <c r="D73" s="39">
        <f t="shared" si="29"/>
        <v>1.1010445854852557</v>
      </c>
      <c r="E73" s="39">
        <f t="shared" si="29"/>
        <v>0.75689764403035209</v>
      </c>
      <c r="F73" s="43">
        <f t="shared" si="18"/>
        <v>0.87148293023020518</v>
      </c>
      <c r="H73" s="39">
        <f t="shared" ref="H73:L73" si="30">(B30/B$25)*100</f>
        <v>28.573440976100915</v>
      </c>
      <c r="I73" s="39">
        <f t="shared" si="30"/>
        <v>30.274446690893196</v>
      </c>
      <c r="J73" s="39">
        <f t="shared" si="30"/>
        <v>30.322230096582835</v>
      </c>
      <c r="K73" s="39">
        <f t="shared" si="30"/>
        <v>30.257769346334442</v>
      </c>
      <c r="L73" s="39">
        <f t="shared" si="30"/>
        <v>30.608758280432628</v>
      </c>
    </row>
    <row r="74" spans="1:12" x14ac:dyDescent="0.2">
      <c r="A74" t="str">
        <f t="shared" si="26"/>
        <v>Support services</v>
      </c>
      <c r="B74" s="39">
        <f t="shared" ref="B74:E74" si="31">IF(AND(C$5-B$5 &lt;&gt; 0,B31&lt;&gt;0,C31&lt;&gt;0),(EXP(LN(C31/B31)/(C$5-B$5))-1)*100,0)</f>
        <v>0.43896683683526394</v>
      </c>
      <c r="C74" s="43">
        <f t="shared" si="31"/>
        <v>-3.2251426894277735</v>
      </c>
      <c r="D74" s="39">
        <f t="shared" si="31"/>
        <v>2.0449255234300301</v>
      </c>
      <c r="E74" s="39">
        <f t="shared" si="31"/>
        <v>0.90621959133967422</v>
      </c>
      <c r="F74" s="43">
        <f t="shared" si="18"/>
        <v>1.2843693351431096</v>
      </c>
      <c r="H74" s="39">
        <f>(B31/B$25)*100</f>
        <v>24.356863202308777</v>
      </c>
      <c r="I74" s="39">
        <f t="shared" ref="I74:L74" si="32">(C31/C$25)*100</f>
        <v>23.531330915673475</v>
      </c>
      <c r="J74" s="39">
        <f t="shared" si="32"/>
        <v>23.332388377312043</v>
      </c>
      <c r="K74" s="39">
        <f t="shared" si="32"/>
        <v>24.390113262526285</v>
      </c>
      <c r="L74" s="39">
        <f t="shared" si="32"/>
        <v>25.041140804227247</v>
      </c>
    </row>
    <row r="75" spans="1:12" x14ac:dyDescent="0.2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1.937090014436893</v>
      </c>
      <c r="C75" s="43">
        <f t="shared" si="33"/>
        <v>-9.6401423614850046</v>
      </c>
      <c r="D75" s="39">
        <f t="shared" si="33"/>
        <v>3.1881370153340027</v>
      </c>
      <c r="E75" s="39">
        <f t="shared" si="33"/>
        <v>1.4280844167489093</v>
      </c>
      <c r="F75" s="43">
        <f t="shared" si="18"/>
        <v>2.0114074363058787</v>
      </c>
      <c r="H75" s="39">
        <f t="shared" ref="H75:L75" si="34">(B32/B$25)*100</f>
        <v>10.238577521410972</v>
      </c>
      <c r="I75" s="39">
        <f t="shared" si="34"/>
        <v>10.495055440449558</v>
      </c>
      <c r="J75" s="39">
        <f t="shared" si="34"/>
        <v>9.7165131113310341</v>
      </c>
      <c r="K75" s="39">
        <f t="shared" si="34"/>
        <v>10.73882720534052</v>
      </c>
      <c r="L75" s="39">
        <f t="shared" si="34"/>
        <v>11.609139330328762</v>
      </c>
    </row>
    <row r="76" spans="1:12" x14ac:dyDescent="0.2">
      <c r="A76" t="str">
        <f t="shared" si="26"/>
        <v>Other services</v>
      </c>
      <c r="B76" s="39">
        <f t="shared" ref="B76:E76" si="35">IF(AND(C$5-B$5 &lt;&gt; 0,B33&lt;&gt;0,C33&lt;&gt;0),(EXP(LN(C33/B33)/(C$5-B$5))-1)*100,0)</f>
        <v>3.5343070363485385</v>
      </c>
      <c r="C76" s="43">
        <f t="shared" si="35"/>
        <v>-7.6597313927746491</v>
      </c>
      <c r="D76" s="39">
        <f t="shared" si="35"/>
        <v>0.72525832356789</v>
      </c>
      <c r="E76" s="39">
        <f t="shared" si="35"/>
        <v>0.25245552808388361</v>
      </c>
      <c r="F76" s="43">
        <f t="shared" si="18"/>
        <v>0.40980935194725454</v>
      </c>
      <c r="H76" s="39">
        <f t="shared" ref="H76:L76" si="36">(B33/B$25)*100</f>
        <v>8.8842985243219239</v>
      </c>
      <c r="I76" s="39">
        <f t="shared" si="36"/>
        <v>9.6911754195480615</v>
      </c>
      <c r="J76" s="39">
        <f t="shared" si="36"/>
        <v>9.1689109379028686</v>
      </c>
      <c r="K76" s="39">
        <f t="shared" si="36"/>
        <v>8.9806394019381219</v>
      </c>
      <c r="L76" s="39">
        <f t="shared" si="36"/>
        <v>8.6400922894132695</v>
      </c>
    </row>
    <row r="77" spans="1:12" x14ac:dyDescent="0.2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x14ac:dyDescent="0.2">
      <c r="A78" s="29" t="str">
        <f>A35</f>
        <v>Non-marketed services</v>
      </c>
      <c r="B78" s="43">
        <f t="shared" ref="B78:E79" si="37">IF(AND(C$5-B$5 &lt;&gt; 0,B35&lt;&gt;0,C35&lt;&gt;0),(EXP(LN(C35/B35)/(C$5-B$5))-1)*100,0)</f>
        <v>0.38571595389456093</v>
      </c>
      <c r="C78" s="43">
        <f t="shared" ref="C78:C83" si="38">IF(AND(D$5-C$5 &lt;&gt; 0,C35&lt;&gt;0,D35&lt;&gt;0),(EXP(LN(D35/C35)/(D$5-C$5))-1)*100,0)</f>
        <v>-2.5772435161505736</v>
      </c>
      <c r="D78" s="43">
        <f t="shared" si="37"/>
        <v>1.2534355929300967</v>
      </c>
      <c r="E78" s="43">
        <f t="shared" si="37"/>
        <v>0.87197395755331808</v>
      </c>
      <c r="F78" s="43">
        <f t="shared" si="18"/>
        <v>0.99896788844899831</v>
      </c>
      <c r="H78" s="43">
        <f>(B35/B$40)*100</f>
        <v>26.047500010558128</v>
      </c>
      <c r="I78" s="43">
        <f>(C35/C$40)*100</f>
        <v>25.163506922215937</v>
      </c>
      <c r="J78" s="43">
        <f>(D35/D$40)*100</f>
        <v>24.787111630178593</v>
      </c>
      <c r="K78" s="43">
        <f>(E35/E$40)*100</f>
        <v>25.266824796230875</v>
      </c>
      <c r="L78" s="43">
        <f>(F35/F$40)*100</f>
        <v>26.01530264718307</v>
      </c>
    </row>
    <row r="79" spans="1:12" x14ac:dyDescent="0.2">
      <c r="A79" t="str">
        <f>A36</f>
        <v>Public admin. and defence</v>
      </c>
      <c r="B79" s="39">
        <f t="shared" si="37"/>
        <v>0.64598943737197434</v>
      </c>
      <c r="C79" s="43">
        <f t="shared" si="38"/>
        <v>6.0093649911356017</v>
      </c>
      <c r="D79" s="39">
        <f t="shared" si="37"/>
        <v>1.0522254926687014</v>
      </c>
      <c r="E79" s="39">
        <f t="shared" si="37"/>
        <v>0.20139468545019579</v>
      </c>
      <c r="F79" s="43">
        <f t="shared" si="18"/>
        <v>0.48420598878411436</v>
      </c>
      <c r="H79" s="39">
        <f>(B36/B$35)*100</f>
        <v>13.639472465228661</v>
      </c>
      <c r="I79" s="39">
        <f t="shared" ref="I79:L81" si="39">(C36/C$35)*100</f>
        <v>13.781477655493571</v>
      </c>
      <c r="J79" s="39">
        <f t="shared" si="39"/>
        <v>14.996144100486358</v>
      </c>
      <c r="K79" s="39">
        <f t="shared" si="39"/>
        <v>14.847733963433777</v>
      </c>
      <c r="L79" s="39">
        <f t="shared" si="39"/>
        <v>13.889692972032499</v>
      </c>
    </row>
    <row r="80" spans="1:12" x14ac:dyDescent="0.2">
      <c r="A80" t="str">
        <f>A37</f>
        <v>Education</v>
      </c>
      <c r="B80" s="39">
        <f t="shared" ref="B80:E81" si="40">IF(AND(C$5-B$5 &lt;&gt; 0,B37&lt;&gt;0,C37&lt;&gt;0),(EXP(LN(C37/B37)/(C$5-B$5))-1)*100,0)</f>
        <v>1.1395686319794596</v>
      </c>
      <c r="C80" s="43">
        <f t="shared" si="38"/>
        <v>-3.9540350372046063</v>
      </c>
      <c r="D80" s="39">
        <f t="shared" si="40"/>
        <v>0.41654784824647351</v>
      </c>
      <c r="E80" s="39">
        <f t="shared" si="40"/>
        <v>0.55734772305269242</v>
      </c>
      <c r="F80" s="43">
        <f t="shared" si="18"/>
        <v>0.51039250914470813</v>
      </c>
      <c r="H80" s="39">
        <f>(B37/B$35)*100</f>
        <v>32.791629200049947</v>
      </c>
      <c r="I80" s="39">
        <f t="shared" si="39"/>
        <v>33.787783248411614</v>
      </c>
      <c r="J80" s="39">
        <f t="shared" si="39"/>
        <v>33.310289743089413</v>
      </c>
      <c r="K80" s="39">
        <f t="shared" si="39"/>
        <v>31.956264353105073</v>
      </c>
      <c r="L80" s="39">
        <f t="shared" si="39"/>
        <v>30.973401983770827</v>
      </c>
    </row>
    <row r="81" spans="1:12" x14ac:dyDescent="0.2">
      <c r="A81" t="str">
        <f>A38</f>
        <v>Health and social work</v>
      </c>
      <c r="B81" s="39">
        <f>IF(AND(C$5-B$5 &lt;&gt; 0,B38&lt;&gt;0,C38&lt;&gt;0),(EXP(LN(C38/B38)/(C$5-B$5))-1)*100,0)</f>
        <v>-0.15180072404177292</v>
      </c>
      <c r="C81" s="43">
        <f t="shared" si="38"/>
        <v>-3.9470014296598022</v>
      </c>
      <c r="D81" s="39">
        <f t="shared" si="40"/>
        <v>1.835281329769467</v>
      </c>
      <c r="E81" s="39">
        <f t="shared" si="40"/>
        <v>1.2341076287004427</v>
      </c>
      <c r="F81" s="43">
        <f t="shared" si="18"/>
        <v>1.4341034947878528</v>
      </c>
      <c r="H81" s="39">
        <f>(B38/B$35)*100</f>
        <v>53.568898334721396</v>
      </c>
      <c r="I81" s="39">
        <f t="shared" si="39"/>
        <v>52.430739096094825</v>
      </c>
      <c r="J81" s="39">
        <f t="shared" si="39"/>
        <v>51.693566156424211</v>
      </c>
      <c r="K81" s="39">
        <f t="shared" si="39"/>
        <v>53.196001683461169</v>
      </c>
      <c r="L81" s="39">
        <f t="shared" si="39"/>
        <v>55.136905044196681</v>
      </c>
    </row>
    <row r="82" spans="1:12" x14ac:dyDescent="0.2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x14ac:dyDescent="0.2">
      <c r="A83" s="23" t="str">
        <f>A40</f>
        <v>All industries</v>
      </c>
      <c r="B83" s="42">
        <f>IF(AND(C$5-B$5 &lt;&gt; 0,B40&lt;&gt;0,C40&lt;&gt;0),(EXP(LN(C40/B40)/(C$5-B$5))-1)*100,0)</f>
        <v>1.2559705559315626</v>
      </c>
      <c r="C83" s="206">
        <f t="shared" si="38"/>
        <v>-1.0978671602069334</v>
      </c>
      <c r="D83" s="42">
        <f>IF(AND(E$5-D$5 &lt;&gt; 0,D40&lt;&gt;0,E40&lt;&gt;0),(EXP(LN(E40/D40)/(E$5-D$5))-1)*100,0)</f>
        <v>0.86600469906554789</v>
      </c>
      <c r="E83" s="42">
        <f>IF(AND(F$5-E$5 &lt;&gt; 0,E40&lt;&gt;0,F40&lt;&gt;0),(EXP(LN(F40/E40)/(F$5-E$5))-1)*100,0)</f>
        <v>0.57793117804305627</v>
      </c>
      <c r="F83" s="206">
        <f t="shared" si="18"/>
        <v>0.6738641534223655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2">
      <c r="A86" s="35"/>
      <c r="B86" s="27" t="s">
        <v>14</v>
      </c>
      <c r="C86" s="27"/>
    </row>
    <row r="87" spans="1:12" x14ac:dyDescent="0.2">
      <c r="A87" s="23"/>
      <c r="B87" s="36" t="str">
        <f>B5&amp;"-"&amp;D5</f>
        <v>2015-2020</v>
      </c>
      <c r="C87" s="36" t="str">
        <f>F48</f>
        <v>2020-2035</v>
      </c>
    </row>
    <row r="89" spans="1:12" x14ac:dyDescent="0.2">
      <c r="A89" s="29" t="str">
        <f>A7</f>
        <v>Primary sector and utilities</v>
      </c>
      <c r="B89" s="43">
        <f>IF(AND(D$5-B$5 &lt;&gt; 0,B7&lt;&gt;0,D7&lt;&gt;0),(EXP(LN(D7/B7)/(D$5-B$5))-1)*100,0)</f>
        <v>4.3863347615075154</v>
      </c>
      <c r="C89" s="43">
        <f>IF(AND(F$5-D$5 &lt;&gt; 0,D7&lt;&gt;0,F7&lt;&gt;0),(EXP(LN(F7/D7)/(F$5-D$5))-1)*100,0)</f>
        <v>0.27320606080696308</v>
      </c>
    </row>
    <row r="90" spans="1:12" x14ac:dyDescent="0.2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4.0843325336207936</v>
      </c>
      <c r="C90" s="43">
        <f t="shared" ref="C90:C122" si="43">IF(AND(F$5-D$5 &lt;&gt; 0,D8&lt;&gt;0,F8&lt;&gt;0),(EXP(LN(F8/D8)/(F$5-D$5))-1)*100,0)</f>
        <v>0.413767909070617</v>
      </c>
    </row>
    <row r="91" spans="1:12" x14ac:dyDescent="0.2">
      <c r="A91" s="29" t="str">
        <f t="shared" si="41"/>
        <v>Mining and quarrying</v>
      </c>
      <c r="B91" s="43">
        <f t="shared" si="42"/>
        <v>-5.5308207745223044</v>
      </c>
      <c r="C91" s="43">
        <f t="shared" si="43"/>
        <v>-4.047861688957477</v>
      </c>
    </row>
    <row r="92" spans="1:12" x14ac:dyDescent="0.2">
      <c r="A92" s="29" t="str">
        <f t="shared" si="41"/>
        <v>Electricity and gas</v>
      </c>
      <c r="B92" s="43">
        <f t="shared" si="42"/>
        <v>16.894080619267204</v>
      </c>
      <c r="C92" s="43">
        <f t="shared" si="43"/>
        <v>-0.58059495583130394</v>
      </c>
    </row>
    <row r="93" spans="1:12" x14ac:dyDescent="0.2">
      <c r="A93" s="29" t="str">
        <f t="shared" si="41"/>
        <v>Water and sewerage</v>
      </c>
      <c r="B93" s="43">
        <f t="shared" si="42"/>
        <v>1.270525728760652</v>
      </c>
      <c r="C93" s="43">
        <f t="shared" si="43"/>
        <v>0.9611685673671877</v>
      </c>
    </row>
    <row r="94" spans="1:12" x14ac:dyDescent="0.2">
      <c r="A94" s="29"/>
      <c r="B94" s="43"/>
      <c r="C94" s="43"/>
    </row>
    <row r="95" spans="1:12" x14ac:dyDescent="0.2">
      <c r="A95" s="29" t="str">
        <f t="shared" si="41"/>
        <v>Manufacturing</v>
      </c>
      <c r="B95" s="43">
        <f t="shared" si="42"/>
        <v>0.83287223850518899</v>
      </c>
      <c r="C95" s="43">
        <f t="shared" si="43"/>
        <v>-0.81590744730979381</v>
      </c>
    </row>
    <row r="96" spans="1:12" x14ac:dyDescent="0.2">
      <c r="A96" s="29" t="str">
        <f t="shared" si="41"/>
        <v>Food drink and tobacco</v>
      </c>
      <c r="B96" s="43">
        <f t="shared" si="42"/>
        <v>0.14742218101988502</v>
      </c>
      <c r="C96" s="43">
        <f t="shared" si="43"/>
        <v>-1.6750199165972868</v>
      </c>
    </row>
    <row r="97" spans="1:3" x14ac:dyDescent="0.2">
      <c r="A97" s="29" t="str">
        <f t="shared" si="41"/>
        <v>Engineering</v>
      </c>
      <c r="B97" s="43">
        <f t="shared" si="42"/>
        <v>-0.74181695550494808</v>
      </c>
      <c r="C97" s="43">
        <f t="shared" si="43"/>
        <v>-1.4636378766887503</v>
      </c>
    </row>
    <row r="98" spans="1:3" x14ac:dyDescent="0.2">
      <c r="A98" s="29" t="str">
        <f t="shared" si="41"/>
        <v>Rest of manufacturing</v>
      </c>
      <c r="B98" s="43">
        <f t="shared" si="42"/>
        <v>1.4329928749709397</v>
      </c>
      <c r="C98" s="43">
        <f t="shared" si="43"/>
        <v>-0.48184108017523819</v>
      </c>
    </row>
    <row r="99" spans="1:3" x14ac:dyDescent="0.2">
      <c r="A99" s="29"/>
      <c r="B99" s="43"/>
      <c r="C99" s="43"/>
    </row>
    <row r="100" spans="1:3" x14ac:dyDescent="0.2">
      <c r="A100" s="29" t="str">
        <f t="shared" si="41"/>
        <v>Construction</v>
      </c>
      <c r="B100" s="43">
        <f t="shared" si="42"/>
        <v>2.6989650497885709</v>
      </c>
      <c r="C100" s="43">
        <f t="shared" si="43"/>
        <v>1.2294677741013338</v>
      </c>
    </row>
    <row r="101" spans="1:3" x14ac:dyDescent="0.2">
      <c r="A101" s="29"/>
      <c r="B101" s="43"/>
      <c r="C101" s="43"/>
    </row>
    <row r="102" spans="1:3" x14ac:dyDescent="0.2">
      <c r="A102" s="29" t="str">
        <f t="shared" si="41"/>
        <v>Trade, accomod. and transport</v>
      </c>
      <c r="B102" s="43">
        <f t="shared" si="42"/>
        <v>1.0290262721062815</v>
      </c>
      <c r="C102" s="43">
        <f t="shared" si="43"/>
        <v>0.51104067400875586</v>
      </c>
    </row>
    <row r="103" spans="1:3" x14ac:dyDescent="0.2">
      <c r="A103" s="29" t="str">
        <f t="shared" si="41"/>
        <v>Wholesale and retail trade</v>
      </c>
      <c r="B103" s="43">
        <f t="shared" si="42"/>
        <v>0.37013281794284758</v>
      </c>
      <c r="C103" s="43">
        <f t="shared" si="43"/>
        <v>7.0996514844745562E-2</v>
      </c>
    </row>
    <row r="104" spans="1:3" x14ac:dyDescent="0.2">
      <c r="A104" s="29" t="str">
        <f t="shared" si="41"/>
        <v>Transport and storage</v>
      </c>
      <c r="B104" s="43">
        <f t="shared" si="42"/>
        <v>-0.52150582677362722</v>
      </c>
      <c r="C104" s="43">
        <f t="shared" si="43"/>
        <v>0.21119132350693182</v>
      </c>
    </row>
    <row r="105" spans="1:3" x14ac:dyDescent="0.2">
      <c r="A105" s="29" t="str">
        <f t="shared" si="41"/>
        <v>Accommodation and food</v>
      </c>
      <c r="B105" s="43">
        <f t="shared" si="42"/>
        <v>3.0147227864928627</v>
      </c>
      <c r="C105" s="43">
        <f t="shared" si="43"/>
        <v>1.3296949929990864</v>
      </c>
    </row>
    <row r="106" spans="1:3" x14ac:dyDescent="0.2">
      <c r="A106" s="29"/>
      <c r="B106" s="43"/>
      <c r="C106" s="43"/>
    </row>
    <row r="107" spans="1:3" x14ac:dyDescent="0.2">
      <c r="A107" s="29" t="str">
        <f t="shared" si="41"/>
        <v>Business and other services</v>
      </c>
      <c r="B107" s="43">
        <f t="shared" si="42"/>
        <v>0.55570826707398435</v>
      </c>
      <c r="C107" s="43">
        <f t="shared" si="43"/>
        <v>0.8082558215800173</v>
      </c>
    </row>
    <row r="108" spans="1:3" x14ac:dyDescent="0.2">
      <c r="A108" s="29" t="str">
        <f t="shared" si="41"/>
        <v>Media</v>
      </c>
      <c r="B108" s="43">
        <f t="shared" si="42"/>
        <v>6.0171941329044243</v>
      </c>
      <c r="C108" s="43">
        <f t="shared" si="43"/>
        <v>-0.38004038111678629</v>
      </c>
    </row>
    <row r="109" spans="1:3" x14ac:dyDescent="0.2">
      <c r="A109" s="29" t="str">
        <f t="shared" si="41"/>
        <v>Information technology</v>
      </c>
      <c r="B109" s="43">
        <f t="shared" si="42"/>
        <v>-2.3584875697129082</v>
      </c>
      <c r="C109" s="43">
        <f t="shared" si="43"/>
        <v>0.7415351336218734</v>
      </c>
    </row>
    <row r="110" spans="1:3" x14ac:dyDescent="0.2">
      <c r="A110" s="29" t="str">
        <f t="shared" si="41"/>
        <v>Finance and insurance</v>
      </c>
      <c r="B110" s="43">
        <f t="shared" si="42"/>
        <v>-0.23389753518839873</v>
      </c>
      <c r="C110" s="43">
        <f t="shared" si="43"/>
        <v>-0.26907330748785485</v>
      </c>
    </row>
    <row r="111" spans="1:3" x14ac:dyDescent="0.2">
      <c r="A111" s="29" t="str">
        <f t="shared" si="41"/>
        <v>Real estate</v>
      </c>
      <c r="B111" s="43">
        <f t="shared" si="42"/>
        <v>2.3877570051540786</v>
      </c>
      <c r="C111" s="43">
        <f t="shared" si="43"/>
        <v>-0.66665352317948345</v>
      </c>
    </row>
    <row r="112" spans="1:3" x14ac:dyDescent="0.2">
      <c r="A112" s="29" t="str">
        <f t="shared" si="41"/>
        <v>Professional services</v>
      </c>
      <c r="B112" s="43">
        <f t="shared" si="42"/>
        <v>1.7575046339342482</v>
      </c>
      <c r="C112" s="43">
        <f t="shared" si="43"/>
        <v>0.87148293023020518</v>
      </c>
    </row>
    <row r="113" spans="1:3" x14ac:dyDescent="0.2">
      <c r="A113" s="29" t="str">
        <f t="shared" si="41"/>
        <v>Support services</v>
      </c>
      <c r="B113" s="43">
        <f t="shared" si="42"/>
        <v>-0.30478890194173269</v>
      </c>
      <c r="C113" s="43">
        <f t="shared" si="43"/>
        <v>1.2843693351431096</v>
      </c>
    </row>
    <row r="114" spans="1:3" x14ac:dyDescent="0.2">
      <c r="A114" s="29" t="str">
        <f t="shared" si="41"/>
        <v>Arts and entertainment</v>
      </c>
      <c r="B114" s="43">
        <f t="shared" si="42"/>
        <v>-0.49133657470266101</v>
      </c>
      <c r="C114" s="43">
        <f t="shared" si="43"/>
        <v>2.0114074363058787</v>
      </c>
    </row>
    <row r="115" spans="1:3" x14ac:dyDescent="0.2">
      <c r="A115" s="29" t="str">
        <f t="shared" si="41"/>
        <v>Other services</v>
      </c>
      <c r="B115" s="43">
        <f t="shared" si="42"/>
        <v>1.1918769742761626</v>
      </c>
      <c r="C115" s="43">
        <f t="shared" si="43"/>
        <v>0.40980935194725454</v>
      </c>
    </row>
    <row r="116" spans="1:3" x14ac:dyDescent="0.2">
      <c r="A116" s="29"/>
      <c r="B116" s="43"/>
      <c r="C116" s="43"/>
    </row>
    <row r="117" spans="1:3" x14ac:dyDescent="0.2">
      <c r="A117" s="29" t="str">
        <f t="shared" si="41"/>
        <v>Non-marketed services</v>
      </c>
      <c r="B117" s="43">
        <f t="shared" si="42"/>
        <v>-0.21399877691297142</v>
      </c>
      <c r="C117" s="43">
        <f t="shared" si="43"/>
        <v>0.99896788844899831</v>
      </c>
    </row>
    <row r="118" spans="1:3" x14ac:dyDescent="0.2">
      <c r="A118" s="29" t="str">
        <f t="shared" si="41"/>
        <v>Public admin. and defence</v>
      </c>
      <c r="B118" s="43">
        <f t="shared" si="42"/>
        <v>1.6965044802447427</v>
      </c>
      <c r="C118" s="43">
        <f t="shared" si="43"/>
        <v>0.48420598878411436</v>
      </c>
    </row>
    <row r="119" spans="1:3" x14ac:dyDescent="0.2">
      <c r="A119" s="29" t="str">
        <f t="shared" si="41"/>
        <v>Education</v>
      </c>
      <c r="B119" s="43">
        <f t="shared" si="42"/>
        <v>9.9683069999922935E-2</v>
      </c>
      <c r="C119" s="43">
        <f t="shared" si="43"/>
        <v>0.51039250914470813</v>
      </c>
    </row>
    <row r="120" spans="1:3" x14ac:dyDescent="0.2">
      <c r="A120" s="29" t="str">
        <f t="shared" si="41"/>
        <v>Health and social work</v>
      </c>
      <c r="B120" s="43">
        <f t="shared" si="42"/>
        <v>-0.92265162078438712</v>
      </c>
      <c r="C120" s="43">
        <f t="shared" si="43"/>
        <v>1.4341034947878528</v>
      </c>
    </row>
    <row r="121" spans="1:3" x14ac:dyDescent="0.2">
      <c r="A121" s="29"/>
      <c r="B121" s="43"/>
      <c r="C121" s="43"/>
    </row>
    <row r="122" spans="1:3" x14ac:dyDescent="0.2">
      <c r="A122" s="344" t="str">
        <f t="shared" si="41"/>
        <v>All industries</v>
      </c>
      <c r="B122" s="206">
        <f t="shared" si="42"/>
        <v>0.78076348315760935</v>
      </c>
      <c r="C122" s="206">
        <f t="shared" si="43"/>
        <v>0.6738641534223655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8" t="str">
        <f>CONCATENATE("Industry Table 5  Employment status by Industry (SIC 2007) and Gender, ",A$8,"-",A$18,", ",Info!B5)</f>
        <v>Industry Table 5  Employment status by Industry (SIC 2007) and Gender, 2020-2035, South West</v>
      </c>
    </row>
    <row r="2" spans="1:17" x14ac:dyDescent="0.2">
      <c r="A2" s="1" t="s">
        <v>532</v>
      </c>
    </row>
    <row r="5" spans="1:17" x14ac:dyDescent="0.2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377</v>
      </c>
    </row>
    <row r="7" spans="1:17" x14ac:dyDescent="0.2">
      <c r="A7" s="296" t="s">
        <v>378</v>
      </c>
      <c r="B7" s="370" t="s">
        <v>376</v>
      </c>
      <c r="C7" s="370"/>
      <c r="D7" s="370" t="s">
        <v>375</v>
      </c>
      <c r="E7" s="370"/>
      <c r="F7" s="370" t="s">
        <v>374</v>
      </c>
      <c r="G7" s="370"/>
      <c r="H7" s="370" t="s">
        <v>32</v>
      </c>
      <c r="I7" s="370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2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2">
      <c r="A9" s="282" t="s">
        <v>355</v>
      </c>
      <c r="B9" s="249">
        <f>SUM(B30,B51,B72,B93,B114,B135,B156,B177,B198,B219,B240,B261,B282,B303,B324,B345,B366,B387,B408,B429,B450,B471)</f>
        <v>996.22999999775845</v>
      </c>
      <c r="C9" s="299" t="str">
        <f>CONCATENATE("(",ROUND((B9/$H11)*100,1),")")</f>
        <v>(34)</v>
      </c>
      <c r="D9" s="249">
        <f>SUM(D30,D51,D72,D93,D114,D135,D156,D177,D198,D219,D240,D261,D282,D303,D324,D345,D366,D387,D408,D429,D450,D471)</f>
        <v>239.16300000117414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256.14599999944676</v>
      </c>
      <c r="G9" s="299" t="str">
        <f>CONCATENATE("(",ROUND((F9/$H11)*100,1),")")</f>
        <v>(8.7)</v>
      </c>
      <c r="H9" s="249">
        <f>SUM(H30,H51,H72,H93,H114,H135,H156,H177,H198,H219,H240,H261,H282,H303,H324,H345,H366,H387,H408,H429,H450,H471)</f>
        <v>1491.5389999983795</v>
      </c>
      <c r="I9" s="299" t="str">
        <f>CONCATENATE("(",ROUND((H9/$H11)*100,1),")")</f>
        <v>(50.9)</v>
      </c>
      <c r="K9" s="249">
        <f>B14-B9</f>
        <v>26.702000000711678</v>
      </c>
      <c r="L9" s="249">
        <f>D14-D9</f>
        <v>13.68499999958712</v>
      </c>
      <c r="M9" s="249">
        <f>F14-F9</f>
        <v>15.705999997232709</v>
      </c>
      <c r="N9" s="249">
        <f>SUM(K9:M9)</f>
        <v>56.092999997531507</v>
      </c>
      <c r="O9" s="298"/>
      <c r="P9" s="298"/>
      <c r="Q9" s="298"/>
    </row>
    <row r="10" spans="1:17" x14ac:dyDescent="0.2">
      <c r="A10" s="282" t="s">
        <v>356</v>
      </c>
      <c r="B10" s="249">
        <f t="shared" ref="B10:B21" si="0">SUM(B31,B52,B73,B94,B115,B136,B157,B178,B199,B220,B241,B262,B283,B304,B325,B346,B367,B388,B409,B430,B451,B472)</f>
        <v>610.82499999830065</v>
      </c>
      <c r="C10" s="299" t="str">
        <f>CONCATENATE("(",ROUND((B10/$H11)*100,1),")")</f>
        <v>(20.9)</v>
      </c>
      <c r="D10" s="249">
        <f t="shared" ref="D10" si="1">SUM(D31,D52,D73,D94,D115,D136,D157,D178,D199,D220,D241,D262,D283,D304,D325,D346,D367,D388,D409,D430,D451,D472)</f>
        <v>628.93700000124238</v>
      </c>
      <c r="E10" s="299" t="str">
        <f>CONCATENATE("(",ROUND((D10/$H11)*100,1),")")</f>
        <v>(21.5)</v>
      </c>
      <c r="F10" s="249">
        <f t="shared" ref="F10" si="2">SUM(F31,F52,F73,F94,F115,F136,F157,F178,F199,F220,F241,F262,F283,F304,F325,F346,F367,F388,F409,F430,F451,F472)</f>
        <v>198.28599999854333</v>
      </c>
      <c r="G10" s="299" t="str">
        <f>CONCATENATE("(",ROUND((F10/$H11)*100,1),")")</f>
        <v>(6.8)</v>
      </c>
      <c r="H10" s="249">
        <f t="shared" ref="H10" si="3">SUM(H31,H52,H73,H94,H115,H136,H157,H178,H199,H220,H241,H262,H283,H304,H325,H346,H367,H388,H409,H430,H451,H472)</f>
        <v>1438.0479999980862</v>
      </c>
      <c r="I10" s="299" t="str">
        <f>CONCATENATE("(",ROUND((H10/$H11)*100,1),")")</f>
        <v>(49.1)</v>
      </c>
      <c r="K10" s="249">
        <f t="shared" ref="K10:K11" si="4">B15-B10</f>
        <v>36.317000000076405</v>
      </c>
      <c r="L10" s="249">
        <f t="shared" ref="L10:L11" si="5">D15-D10</f>
        <v>22.531000000842027</v>
      </c>
      <c r="M10" s="249">
        <f t="shared" ref="M10:M11" si="6">F15-F10</f>
        <v>14.126999999418643</v>
      </c>
      <c r="N10" s="249">
        <f t="shared" ref="N10:N11" si="7">SUM(K10:M10)</f>
        <v>72.975000000337076</v>
      </c>
      <c r="O10" s="298"/>
      <c r="P10" s="298"/>
      <c r="Q10" s="298"/>
    </row>
    <row r="11" spans="1:17" x14ac:dyDescent="0.2">
      <c r="A11" s="282" t="s">
        <v>354</v>
      </c>
      <c r="B11" s="249">
        <f t="shared" si="0"/>
        <v>1607.054999996059</v>
      </c>
      <c r="C11" s="299" t="str">
        <f>CONCATENATE("(",ROUND((B11/$H11)*100,1),")")</f>
        <v>(54.9)</v>
      </c>
      <c r="D11" s="249">
        <f t="shared" ref="D11" si="8">SUM(D32,D53,D74,D95,D116,D137,D158,D179,D200,D221,D242,D263,D284,D305,D326,D347,D368,D389,D410,D431,D452,D473)</f>
        <v>868.10000000241644</v>
      </c>
      <c r="E11" s="299" t="str">
        <f>CONCATENATE("(",ROUND((D11/$H11)*100,1),")")</f>
        <v>(29.6)</v>
      </c>
      <c r="F11" s="249">
        <f t="shared" ref="F11" si="9">SUM(F32,F53,F74,F95,F116,F137,F158,F179,F200,F221,F242,F263,F284,F305,F326,F347,F368,F389,F410,F431,F452,F473)</f>
        <v>454.4319999979902</v>
      </c>
      <c r="G11" s="299" t="str">
        <f>CONCATENATE("(",ROUND((F11/$H11)*100,1),")")</f>
        <v>(15.5)</v>
      </c>
      <c r="H11" s="249">
        <f t="shared" ref="H11" si="10">SUM(H32,H53,H74,H95,H116,H137,H158,H179,H200,H221,H242,H263,H284,H305,H326,H347,H368,H389,H410,H431,H452,H473)</f>
        <v>2929.5869999964657</v>
      </c>
      <c r="I11" s="299" t="str">
        <f>CONCATENATE("(",ROUND((H11/$H11)*100,1),")")</f>
        <v>(100)</v>
      </c>
      <c r="K11" s="249">
        <f t="shared" si="4"/>
        <v>63.01900000078831</v>
      </c>
      <c r="L11" s="249">
        <f t="shared" si="5"/>
        <v>36.21600000042929</v>
      </c>
      <c r="M11" s="249">
        <f t="shared" si="6"/>
        <v>29.832999996651154</v>
      </c>
      <c r="N11" s="249">
        <f t="shared" si="7"/>
        <v>129.06799999786875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355</v>
      </c>
      <c r="B14" s="249">
        <f>SUM(B35,B56,B77,B98,B119,B140,B161,B182,B203,B224,B245,B266,B287,B308,B329,B350,B371,B392,B413,B434,B455,B476)</f>
        <v>1022.9319999984701</v>
      </c>
      <c r="C14" s="299" t="str">
        <f>CONCATENATE("(",ROUND((B14/$H16)*100,1),")")</f>
        <v>(33.4)</v>
      </c>
      <c r="D14" s="249">
        <f t="shared" ref="D14" si="11">SUM(D35,D56,D77,D98,D119,D140,D161,D182,D203,D224,D245,D266,D287,D308,D329,D350,D371,D392,D413,D434,D455,D476)</f>
        <v>252.84800000076126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271.85199999667947</v>
      </c>
      <c r="G14" s="299" t="str">
        <f>CONCATENATE("(",ROUND((F14/$H16)*100,1),")")</f>
        <v>(8.9)</v>
      </c>
      <c r="H14" s="249">
        <f t="shared" ref="H14" si="13">SUM(H35,H56,H77,H98,H119,H140,H161,H182,H203,H224,H245,H266,H287,H308,H329,H350,H371,H392,H413,H434,H455,H476)</f>
        <v>1547.6319999959107</v>
      </c>
      <c r="I14" s="299" t="str">
        <f>CONCATENATE("(",ROUND((H14/$H16)*100,1),")")</f>
        <v>(50.6)</v>
      </c>
      <c r="K14" s="249">
        <f>B19-B14</f>
        <v>31.769999998973503</v>
      </c>
      <c r="L14" s="249">
        <f>D19-D14</f>
        <v>22.686000000008164</v>
      </c>
      <c r="M14" s="249">
        <f>F19-F14</f>
        <v>21.910000001591243</v>
      </c>
      <c r="N14" s="249">
        <f>SUM(K14:M14)</f>
        <v>76.36600000057291</v>
      </c>
    </row>
    <row r="15" spans="1:17" x14ac:dyDescent="0.2">
      <c r="A15" s="282" t="s">
        <v>356</v>
      </c>
      <c r="B15" s="249">
        <f t="shared" si="0"/>
        <v>647.14199999837706</v>
      </c>
      <c r="C15" s="299" t="str">
        <f>CONCATENATE("(",ROUND((B15/$H16)*100,1),")")</f>
        <v>(21.2)</v>
      </c>
      <c r="D15" s="249">
        <f t="shared" ref="D15" si="14">SUM(D36,D57,D78,D99,D120,D141,D162,D183,D204,D225,D246,D267,D288,D309,D330,D351,D372,D393,D414,D435,D456,D477)</f>
        <v>651.46800000208441</v>
      </c>
      <c r="E15" s="299" t="str">
        <f>CONCATENATE("(",ROUND((D15/$H16)*100,1),")")</f>
        <v>(21.3)</v>
      </c>
      <c r="F15" s="249">
        <f t="shared" ref="F15" si="15">SUM(F36,F57,F78,F99,F120,F141,F162,F183,F204,F225,F246,F267,F288,F309,F330,F351,F372,F393,F414,F435,F456,F477)</f>
        <v>212.41299999796198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1511.0229999984235</v>
      </c>
      <c r="I15" s="299" t="str">
        <f>CONCATENATE("(",ROUND((H15/$H16)*100,1),")")</f>
        <v>(49.4)</v>
      </c>
      <c r="K15" s="249">
        <f t="shared" ref="K15:K16" si="17">B20-B15</f>
        <v>58.568000003161274</v>
      </c>
      <c r="L15" s="249">
        <f t="shared" ref="L15:L16" si="18">D20-D15</f>
        <v>25.55299999536669</v>
      </c>
      <c r="M15" s="249">
        <f t="shared" ref="M15:M16" si="19">F20-F15</f>
        <v>20.951000003857786</v>
      </c>
      <c r="N15" s="249">
        <f t="shared" ref="N15:N16" si="20">SUM(K15:M15)</f>
        <v>105.07200000238575</v>
      </c>
    </row>
    <row r="16" spans="1:17" x14ac:dyDescent="0.2">
      <c r="A16" s="282" t="s">
        <v>354</v>
      </c>
      <c r="B16" s="249">
        <f t="shared" si="0"/>
        <v>1670.0739999968473</v>
      </c>
      <c r="C16" s="299" t="str">
        <f>CONCATENATE("(",ROUND((B16/$H16)*100,1),")")</f>
        <v>(54.6)</v>
      </c>
      <c r="D16" s="249">
        <f t="shared" ref="D16" si="21">SUM(D37,D58,D79,D100,D121,D142,D163,D184,D205,D226,D247,D268,D289,D310,D331,D352,D373,D394,D415,D436,D457,D478)</f>
        <v>904.31600000284573</v>
      </c>
      <c r="E16" s="299" t="str">
        <f>CONCATENATE("(",ROUND((D16/$H16)*100,1),")")</f>
        <v>(29.6)</v>
      </c>
      <c r="F16" s="249">
        <f t="shared" ref="F16" si="22">SUM(F37,F58,F79,F100,F121,F142,F163,F184,F205,F226,F247,F268,F289,F310,F331,F352,F373,F394,F415,F436,F457,F478)</f>
        <v>484.26499999464136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3058.6549999943336</v>
      </c>
      <c r="I16" s="299" t="str">
        <f>CONCATENATE("(",ROUND((H16/$H16)*100,1),")")</f>
        <v>(100)</v>
      </c>
      <c r="K16" s="249">
        <f t="shared" si="17"/>
        <v>90.338000002134777</v>
      </c>
      <c r="L16" s="249">
        <f t="shared" si="18"/>
        <v>48.238999995374911</v>
      </c>
      <c r="M16" s="249">
        <f t="shared" si="19"/>
        <v>42.861000005449</v>
      </c>
      <c r="N16" s="249">
        <f t="shared" si="20"/>
        <v>181.43800000295869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355</v>
      </c>
      <c r="B19" s="249">
        <f t="shared" si="0"/>
        <v>1054.7019999974436</v>
      </c>
      <c r="C19" s="299" t="str">
        <f>CONCATENATE("(",ROUND((B19/$H21)*100,1),")")</f>
        <v>(32.6)</v>
      </c>
      <c r="D19" s="249">
        <f t="shared" ref="D19" si="24">SUM(D40,D61,D82,D103,D124,D145,D166,D187,D208,D229,D250,D271,D292,D313,D334,D355,D376,D397,D418,D439,D460,D481)</f>
        <v>275.53400000076942</v>
      </c>
      <c r="E19" s="299" t="str">
        <f>CONCATENATE("(",ROUND((D19/$H21)*100,1),")")</f>
        <v>(8.5)</v>
      </c>
      <c r="F19" s="249">
        <f t="shared" ref="F19" si="25">SUM(F40,F61,F82,F103,F124,F145,F166,F187,F208,F229,F250,F271,F292,F313,F334,F355,F376,F397,F418,F439,F460,F481)</f>
        <v>293.76199999827071</v>
      </c>
      <c r="G19" s="299" t="str">
        <f>CONCATENATE("(",ROUND((F19/$H21)*100,1),")")</f>
        <v>(9.1)</v>
      </c>
      <c r="H19" s="249">
        <f t="shared" ref="H19" si="26">SUM(H40,H61,H82,H103,H124,H145,H166,H187,H208,H229,H250,H271,H292,H313,H334,H355,H376,H397,H418,H439,H460,H481)</f>
        <v>1623.9979999964835</v>
      </c>
      <c r="I19" s="299" t="str">
        <f>CONCATENATE("(",ROUND((H19/$H21)*100,1),")")</f>
        <v>(50.1)</v>
      </c>
      <c r="K19" s="249">
        <f>B19-B9</f>
        <v>58.471999999685181</v>
      </c>
      <c r="L19" s="249">
        <f>D19-D9</f>
        <v>36.370999999595284</v>
      </c>
      <c r="M19" s="249">
        <f>F19-F9</f>
        <v>37.615999998823952</v>
      </c>
      <c r="N19" s="249">
        <f>SUM(K19:M19)</f>
        <v>132.45899999810442</v>
      </c>
    </row>
    <row r="20" spans="1:14" x14ac:dyDescent="0.2">
      <c r="A20" s="282" t="s">
        <v>356</v>
      </c>
      <c r="B20" s="249">
        <f t="shared" si="0"/>
        <v>705.71000000153833</v>
      </c>
      <c r="C20" s="299" t="str">
        <f>CONCATENATE("(",ROUND((B20/$H21)*100,1),")")</f>
        <v>(21.8)</v>
      </c>
      <c r="D20" s="249">
        <f t="shared" ref="D20" si="27">SUM(D41,D62,D83,D104,D125,D146,D167,D188,D209,D230,D251,D272,D293,D314,D335,D356,D377,D398,D419,D440,D461,D482)</f>
        <v>677.0209999974511</v>
      </c>
      <c r="E20" s="299" t="str">
        <f>CONCATENATE("(",ROUND((D20/$H21)*100,1),")")</f>
        <v>(20.9)</v>
      </c>
      <c r="F20" s="249">
        <f t="shared" ref="F20" si="28">SUM(F41,F62,F83,F104,F125,F146,F167,F188,F209,F230,F251,F272,F293,F314,F335,F356,F377,F398,F419,F440,F461,F482)</f>
        <v>233.36400000181976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1616.0950000008095</v>
      </c>
      <c r="I20" s="299" t="str">
        <f>CONCATENATE("(",ROUND((H20/$H21)*100,1),")")</f>
        <v>(49.9)</v>
      </c>
      <c r="K20" s="249">
        <f t="shared" ref="K20:K21" si="30">B20-B10</f>
        <v>94.885000003237678</v>
      </c>
      <c r="L20" s="249">
        <f t="shared" ref="L20:L21" si="31">D20-D10</f>
        <v>48.083999996208718</v>
      </c>
      <c r="M20" s="249">
        <f t="shared" ref="M20:M21" si="32">F20-F10</f>
        <v>35.078000003276429</v>
      </c>
      <c r="N20" s="249">
        <f t="shared" ref="N20:N21" si="33">SUM(K20:M20)</f>
        <v>178.04700000272283</v>
      </c>
    </row>
    <row r="21" spans="1:14" x14ac:dyDescent="0.2">
      <c r="A21" s="282" t="s">
        <v>354</v>
      </c>
      <c r="B21" s="249">
        <f t="shared" si="0"/>
        <v>1760.4119999989821</v>
      </c>
      <c r="C21" s="299" t="str">
        <f>CONCATENATE("(",ROUND((B21/$H21)*100,1),")")</f>
        <v>(54.3)</v>
      </c>
      <c r="D21" s="249">
        <f t="shared" ref="D21" si="34">SUM(D42,D63,D84,D105,D126,D147,D168,D189,D210,D231,D252,D273,D294,D315,D336,D357,D378,D399,D420,D441,D462,D483)</f>
        <v>952.55499999822064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527.12600000009036</v>
      </c>
      <c r="G21" s="299" t="str">
        <f>CONCATENATE("(",ROUND((F21/$H21)*100,1),")")</f>
        <v>(16.3)</v>
      </c>
      <c r="H21" s="249">
        <f t="shared" ref="H21" si="35">SUM(H42,H63,H84,H105,H126,H147,H168,H189,H210,H231,H252,H273,H294,H315,H336,H357,H378,H399,H420,H441,H462,H483)</f>
        <v>3240.0929999972927</v>
      </c>
      <c r="I21" s="299" t="str">
        <f>CONCATENATE("(",ROUND((H21/$H21)*100,1),")")</f>
        <v>(100)</v>
      </c>
      <c r="K21" s="249">
        <f t="shared" si="30"/>
        <v>153.35700000292309</v>
      </c>
      <c r="L21" s="249">
        <f t="shared" si="31"/>
        <v>84.454999995804201</v>
      </c>
      <c r="M21" s="249">
        <f t="shared" si="32"/>
        <v>72.694000002100154</v>
      </c>
      <c r="N21" s="249">
        <f t="shared" si="33"/>
        <v>310.50600000082744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377</v>
      </c>
    </row>
    <row r="28" spans="1:14" x14ac:dyDescent="0.2">
      <c r="A28" s="296" t="s">
        <v>378</v>
      </c>
      <c r="B28" s="370" t="s">
        <v>376</v>
      </c>
      <c r="C28" s="370"/>
      <c r="D28" s="370" t="s">
        <v>375</v>
      </c>
      <c r="E28" s="370"/>
      <c r="F28" s="370" t="s">
        <v>374</v>
      </c>
      <c r="G28" s="370"/>
      <c r="H28" s="370" t="s">
        <v>32</v>
      </c>
      <c r="I28" s="370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2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2">
      <c r="A30" s="282" t="s">
        <v>355</v>
      </c>
      <c r="B30" s="302">
        <f>'Ind T6'!L10</f>
        <v>15.378000000115232</v>
      </c>
      <c r="C30" s="299" t="str">
        <f>CONCATENATE("(",ROUND((B30/$H32)*100,1),")")</f>
        <v>(26.4)</v>
      </c>
      <c r="D30" s="302">
        <f>'Ind T6'!M10</f>
        <v>4.1480000000102484</v>
      </c>
      <c r="E30" s="299" t="str">
        <f>CONCATENATE("(",ROUND((D30/$H32)*100,1),")")</f>
        <v>(7.1)</v>
      </c>
      <c r="F30" s="302">
        <f>'Ind T6'!N10</f>
        <v>22.24299999968941</v>
      </c>
      <c r="G30" s="299" t="str">
        <f>CONCATENATE("(",ROUND((F30/$H32)*100,1),")")</f>
        <v>(38.1)</v>
      </c>
      <c r="H30" s="302">
        <f>SUM(B30,D30,F30)</f>
        <v>41.768999999814895</v>
      </c>
      <c r="I30" s="299" t="str">
        <f>CONCATENATE("(",ROUND((H30/$H32)*100,1),")")</f>
        <v>(71.6)</v>
      </c>
      <c r="K30" s="302">
        <f>B35-B30</f>
        <v>1.1130000000219304</v>
      </c>
      <c r="L30" s="302">
        <f>D35-D30</f>
        <v>0.18499999998698513</v>
      </c>
      <c r="M30" s="302">
        <f>F35-F30</f>
        <v>0.14199999933849483</v>
      </c>
      <c r="N30" s="302">
        <f>SUM(K30:M30)</f>
        <v>1.4399999993474104</v>
      </c>
    </row>
    <row r="31" spans="1:14" x14ac:dyDescent="0.2">
      <c r="A31" s="282" t="s">
        <v>356</v>
      </c>
      <c r="B31" s="302">
        <f>'Ind T6'!L9</f>
        <v>4.4870000000106938</v>
      </c>
      <c r="C31" s="299" t="str">
        <f>CONCATENATE("(",ROUND((B31/$H32)*100,1),")")</f>
        <v>(7.7)</v>
      </c>
      <c r="D31" s="302">
        <f>'Ind T6'!M9</f>
        <v>4.0480000000556071</v>
      </c>
      <c r="E31" s="299" t="str">
        <f>CONCATENATE("(",ROUND((D31/$H32)*100,1),")")</f>
        <v>(6.9)</v>
      </c>
      <c r="F31" s="302">
        <f>'Ind T6'!N9</f>
        <v>8.0100000001195415</v>
      </c>
      <c r="G31" s="299" t="str">
        <f>CONCATENATE("(",ROUND((F31/$H32)*100,1),")")</f>
        <v>(13.7)</v>
      </c>
      <c r="H31" s="302">
        <f t="shared" ref="H31" si="36">SUM(B31,D31,F31)</f>
        <v>16.545000000185844</v>
      </c>
      <c r="I31" s="299" t="str">
        <f>CONCATENATE("(",ROUND((H31/$H32)*100,1),")")</f>
        <v>(28.4)</v>
      </c>
      <c r="K31" s="302">
        <f t="shared" ref="K31:K32" si="37">B36-B31</f>
        <v>0.16800000009605132</v>
      </c>
      <c r="L31" s="302">
        <f t="shared" ref="L31:L32" si="38">D36-D31</f>
        <v>2.4000000054788195E-2</v>
      </c>
      <c r="M31" s="302">
        <f t="shared" ref="M31:M32" si="39">F36-F31</f>
        <v>0.42100000006813332</v>
      </c>
      <c r="N31" s="302">
        <f t="shared" ref="N31:N32" si="40">SUM(K31:M31)</f>
        <v>0.61300000021897283</v>
      </c>
    </row>
    <row r="32" spans="1:14" x14ac:dyDescent="0.2">
      <c r="A32" s="282" t="s">
        <v>354</v>
      </c>
      <c r="B32" s="302">
        <f>SUM(B30:B31)</f>
        <v>19.865000000125924</v>
      </c>
      <c r="C32" s="299" t="str">
        <f>CONCATENATE("(",ROUND((B32/$H32)*100,1),")")</f>
        <v>(34.1)</v>
      </c>
      <c r="D32" s="302">
        <f>SUM(D30:D31)</f>
        <v>8.1960000000658546</v>
      </c>
      <c r="E32" s="299" t="str">
        <f>CONCATENATE("(",ROUND((D32/$H32)*100,1),")")</f>
        <v>(14.1)</v>
      </c>
      <c r="F32" s="302">
        <f>SUM(F30:F31)</f>
        <v>30.252999999808949</v>
      </c>
      <c r="G32" s="299" t="str">
        <f>CONCATENATE("(",ROUND((F32/$H32)*100,1),")")</f>
        <v>(51.9)</v>
      </c>
      <c r="H32" s="302">
        <f>SUM(H30:H31)</f>
        <v>58.314000000000739</v>
      </c>
      <c r="I32" s="299" t="str">
        <f>CONCATENATE("(",ROUND((H32/$H32)*100,1),")")</f>
        <v>(100)</v>
      </c>
      <c r="K32" s="302">
        <f t="shared" si="37"/>
        <v>1.2810000001179844</v>
      </c>
      <c r="L32" s="302">
        <f t="shared" si="38"/>
        <v>0.20900000004177421</v>
      </c>
      <c r="M32" s="302">
        <f t="shared" si="39"/>
        <v>0.56299999940662815</v>
      </c>
      <c r="N32" s="302">
        <f t="shared" si="40"/>
        <v>2.0529999995663868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355</v>
      </c>
      <c r="B35" s="302">
        <f>'Ind T6'!Q10</f>
        <v>16.491000000137163</v>
      </c>
      <c r="C35" s="299" t="str">
        <f>CONCATENATE("(",ROUND((B35/$H37)*100,1),")")</f>
        <v>(27.3)</v>
      </c>
      <c r="D35" s="302">
        <f>'Ind T6'!R10</f>
        <v>4.3329999999972335</v>
      </c>
      <c r="E35" s="299" t="str">
        <f>CONCATENATE("(",ROUND((D35/$H37)*100,1),")")</f>
        <v>(7.2)</v>
      </c>
      <c r="F35" s="302">
        <f>'Ind T6'!S10</f>
        <v>22.384999999027904</v>
      </c>
      <c r="G35" s="299" t="str">
        <f>CONCATENATE("(",ROUND((F35/$H37)*100,1),")")</f>
        <v>(37.1)</v>
      </c>
      <c r="H35" s="302">
        <f>SUM(B35,D35,F35)</f>
        <v>43.208999999162302</v>
      </c>
      <c r="I35" s="299" t="str">
        <f>CONCATENATE("(",ROUND((H35/$H37)*100,1),")")</f>
        <v>(71.6)</v>
      </c>
      <c r="K35" s="302">
        <f>B40-B35</f>
        <v>1.9730000000408339</v>
      </c>
      <c r="L35" s="302">
        <f>D40-D35</f>
        <v>0.16799999999574844</v>
      </c>
      <c r="M35" s="302">
        <f>F40-F35</f>
        <v>-0.98599999977935937</v>
      </c>
      <c r="N35" s="302">
        <f>SUM(K35:M35)</f>
        <v>1.1550000002572229</v>
      </c>
    </row>
    <row r="36" spans="1:14" x14ac:dyDescent="0.2">
      <c r="A36" s="282" t="s">
        <v>356</v>
      </c>
      <c r="B36" s="302">
        <f>'Ind T6'!Q9</f>
        <v>4.6550000001067451</v>
      </c>
      <c r="C36" s="299" t="str">
        <f>CONCATENATE("(",ROUND((B36/$H37)*100,1),")")</f>
        <v>(7.7)</v>
      </c>
      <c r="D36" s="302">
        <f>'Ind T6'!R9</f>
        <v>4.0720000001103953</v>
      </c>
      <c r="E36" s="299" t="str">
        <f>CONCATENATE("(",ROUND((D36/$H37)*100,1),")")</f>
        <v>(6.7)</v>
      </c>
      <c r="F36" s="302">
        <f>'Ind T6'!S9</f>
        <v>8.4310000001876748</v>
      </c>
      <c r="G36" s="299" t="str">
        <f>CONCATENATE("(",ROUND((F36/$H37)*100,1),")")</f>
        <v>(14)</v>
      </c>
      <c r="H36" s="302">
        <f t="shared" ref="H36" si="41">SUM(B36,D36,F36)</f>
        <v>17.158000000404815</v>
      </c>
      <c r="I36" s="299" t="str">
        <f>CONCATENATE("(",ROUND((H36/$H37)*100,1),")")</f>
        <v>(28.4)</v>
      </c>
      <c r="K36" s="302">
        <f t="shared" ref="K36:K37" si="42">B41-B36</f>
        <v>0.14799999986580659</v>
      </c>
      <c r="L36" s="302">
        <f t="shared" ref="L36:L37" si="43">D41-D36</f>
        <v>-0.16500000013584026</v>
      </c>
      <c r="M36" s="302">
        <f t="shared" ref="M36:M37" si="44">F41-F36</f>
        <v>0.53499999967351641</v>
      </c>
      <c r="N36" s="302">
        <f t="shared" ref="N36:N37" si="45">SUM(K36:M36)</f>
        <v>0.51799999940348274</v>
      </c>
    </row>
    <row r="37" spans="1:14" x14ac:dyDescent="0.2">
      <c r="A37" s="282" t="s">
        <v>354</v>
      </c>
      <c r="B37" s="302">
        <f>SUM(B35:B36)</f>
        <v>21.146000000243909</v>
      </c>
      <c r="C37" s="299" t="str">
        <f>CONCATENATE("(",ROUND((B37/$H37)*100,1),")")</f>
        <v>(35)</v>
      </c>
      <c r="D37" s="302">
        <f>SUM(D35:D36)</f>
        <v>8.4050000001076288</v>
      </c>
      <c r="E37" s="299" t="str">
        <f>CONCATENATE("(",ROUND((D37/$H37)*100,1),")")</f>
        <v>(13.9)</v>
      </c>
      <c r="F37" s="302">
        <f>SUM(F35:F36)</f>
        <v>30.815999999215578</v>
      </c>
      <c r="G37" s="299" t="str">
        <f>CONCATENATE("(",ROUND((F37/$H37)*100,1),")")</f>
        <v>(51)</v>
      </c>
      <c r="H37" s="302">
        <f>SUM(H35:H36)</f>
        <v>60.366999999567113</v>
      </c>
      <c r="I37" s="299" t="str">
        <f>CONCATENATE("(",ROUND((H37/$H37)*100,1),")")</f>
        <v>(100)</v>
      </c>
      <c r="K37" s="302">
        <f t="shared" si="42"/>
        <v>2.1209999999066405</v>
      </c>
      <c r="L37" s="302">
        <f t="shared" si="43"/>
        <v>2.9999998599077315E-3</v>
      </c>
      <c r="M37" s="302">
        <f t="shared" si="44"/>
        <v>-0.45100000010584296</v>
      </c>
      <c r="N37" s="302">
        <f t="shared" si="45"/>
        <v>1.6729999996607052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355</v>
      </c>
      <c r="B40" s="302">
        <f>'Ind T6'!V10</f>
        <v>18.464000000177997</v>
      </c>
      <c r="C40" s="299" t="str">
        <f>CONCATENATE("(",ROUND((B40/$H42)*100,1),")")</f>
        <v>(29.8)</v>
      </c>
      <c r="D40" s="302">
        <f>'Ind T6'!W10</f>
        <v>4.5009999999929819</v>
      </c>
      <c r="E40" s="299" t="str">
        <f>CONCATENATE("(",ROUND((D40/$H42)*100,1),")")</f>
        <v>(7.3)</v>
      </c>
      <c r="F40" s="302">
        <f>'Ind T6'!X10</f>
        <v>21.398999999248545</v>
      </c>
      <c r="G40" s="299" t="str">
        <f>CONCATENATE("(",ROUND((F40/$H42)*100,1),")")</f>
        <v>(34.5)</v>
      </c>
      <c r="H40" s="302">
        <f>SUM(B40,D40,F40)</f>
        <v>44.363999999419519</v>
      </c>
      <c r="I40" s="299" t="str">
        <f>CONCATENATE("(",ROUND((H40/$H42)*100,1),")")</f>
        <v>(71.5)</v>
      </c>
      <c r="K40" s="302">
        <f>B40-B30</f>
        <v>3.0860000000627643</v>
      </c>
      <c r="L40" s="302">
        <f>D40-D30</f>
        <v>0.35299999998273357</v>
      </c>
      <c r="M40" s="302">
        <f>F40-F30</f>
        <v>-0.84400000044086454</v>
      </c>
      <c r="N40" s="302">
        <f>SUM(K40:M40)</f>
        <v>2.5949999996046333</v>
      </c>
    </row>
    <row r="41" spans="1:14" x14ac:dyDescent="0.2">
      <c r="A41" s="282" t="s">
        <v>356</v>
      </c>
      <c r="B41" s="302">
        <f>'Ind T6'!V9</f>
        <v>4.8029999999725517</v>
      </c>
      <c r="C41" s="299" t="str">
        <f>CONCATENATE("(",ROUND((B41/$H42)*100,1),")")</f>
        <v>(7.7)</v>
      </c>
      <c r="D41" s="302">
        <f>'Ind T6'!W9</f>
        <v>3.906999999974555</v>
      </c>
      <c r="E41" s="299" t="str">
        <f>CONCATENATE("(",ROUND((D41/$H42)*100,1),")")</f>
        <v>(6.3)</v>
      </c>
      <c r="F41" s="302">
        <f>'Ind T6'!X9</f>
        <v>8.9659999998611912</v>
      </c>
      <c r="G41" s="299" t="str">
        <f>CONCATENATE("(",ROUND((F41/$H42)*100,1),")")</f>
        <v>(14.5)</v>
      </c>
      <c r="H41" s="302">
        <f t="shared" ref="H41" si="46">SUM(B41,D41,F41)</f>
        <v>17.675999999808298</v>
      </c>
      <c r="I41" s="299" t="str">
        <f>CONCATENATE("(",ROUND((H41/$H42)*100,1),")")</f>
        <v>(28.5)</v>
      </c>
      <c r="K41" s="302">
        <f t="shared" ref="K41:K42" si="47">B41-B31</f>
        <v>0.3159999999618579</v>
      </c>
      <c r="L41" s="302">
        <f t="shared" ref="L41:L42" si="48">D41-D31</f>
        <v>-0.14100000008105207</v>
      </c>
      <c r="M41" s="302">
        <f t="shared" ref="M41:M42" si="49">F41-F31</f>
        <v>0.95599999974164973</v>
      </c>
      <c r="N41" s="302">
        <f t="shared" ref="N41:N42" si="50">SUM(K41:M41)</f>
        <v>1.1309999996224556</v>
      </c>
    </row>
    <row r="42" spans="1:14" x14ac:dyDescent="0.2">
      <c r="A42" s="282" t="s">
        <v>354</v>
      </c>
      <c r="B42" s="302">
        <f>SUM(B40:B41)</f>
        <v>23.267000000150549</v>
      </c>
      <c r="C42" s="299" t="str">
        <f>CONCATENATE("(",ROUND((B42/$H42)*100,1),")")</f>
        <v>(37.5)</v>
      </c>
      <c r="D42" s="302">
        <f>SUM(D40:D41)</f>
        <v>8.4079999999675366</v>
      </c>
      <c r="E42" s="299" t="str">
        <f>CONCATENATE("(",ROUND((D42/$H42)*100,1),")")</f>
        <v>(13.6)</v>
      </c>
      <c r="F42" s="302">
        <f>SUM(F40:F41)</f>
        <v>30.364999999109735</v>
      </c>
      <c r="G42" s="299" t="str">
        <f>CONCATENATE("(",ROUND((F42/$H42)*100,1),")")</f>
        <v>(48.9)</v>
      </c>
      <c r="H42" s="302">
        <f>SUM(H40:H41)</f>
        <v>62.039999999227817</v>
      </c>
      <c r="I42" s="299" t="str">
        <f>CONCATENATE("(",ROUND((H42/$H42)*100,1),")")</f>
        <v>(100)</v>
      </c>
      <c r="K42" s="302">
        <f t="shared" si="47"/>
        <v>3.4020000000246249</v>
      </c>
      <c r="L42" s="302">
        <f t="shared" si="48"/>
        <v>0.21199999990168195</v>
      </c>
      <c r="M42" s="302">
        <f t="shared" si="49"/>
        <v>0.11199999930078519</v>
      </c>
      <c r="N42" s="302">
        <f t="shared" si="50"/>
        <v>3.725999999227092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1"/>
      <c r="E46" s="181"/>
      <c r="G46" s="181"/>
      <c r="I46" s="181"/>
    </row>
    <row r="47" spans="1:14" x14ac:dyDescent="0.2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377</v>
      </c>
    </row>
    <row r="49" spans="1:14" x14ac:dyDescent="0.2">
      <c r="A49" s="181" t="s">
        <v>378</v>
      </c>
      <c r="B49" s="369" t="s">
        <v>376</v>
      </c>
      <c r="C49" s="369"/>
      <c r="D49" s="369" t="s">
        <v>375</v>
      </c>
      <c r="E49" s="369"/>
      <c r="F49" s="369" t="s">
        <v>374</v>
      </c>
      <c r="G49" s="369"/>
      <c r="H49" s="369" t="s">
        <v>32</v>
      </c>
      <c r="I49" s="369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2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2">
      <c r="A51" s="282" t="s">
        <v>355</v>
      </c>
      <c r="B51" s="302">
        <f>'Ind T6'!L20</f>
        <v>2.9630000000144543</v>
      </c>
      <c r="C51" s="299" t="str">
        <f>CONCATENATE("(",ROUND((B51/$H53)*100,1),")")</f>
        <v>(84.1)</v>
      </c>
      <c r="D51" s="302">
        <f>'Ind T6'!M20</f>
        <v>3.5000000000352534E-2</v>
      </c>
      <c r="E51" s="299" t="str">
        <f>CONCATENATE("(",ROUND((D51/$H53)*100,1),")")</f>
        <v>(1)</v>
      </c>
      <c r="F51" s="302">
        <f>'Ind T6'!N20</f>
        <v>0</v>
      </c>
      <c r="G51" s="299" t="str">
        <f>CONCATENATE("(",ROUND((F51/$H53)*100,1),")")</f>
        <v>(0)</v>
      </c>
      <c r="H51" s="302">
        <f>SUM(B51,D51,F51)</f>
        <v>2.998000000014807</v>
      </c>
      <c r="I51" s="299" t="str">
        <f>CONCATENATE("(",ROUND((H51/$H53)*100,1),")")</f>
        <v>(85.1)</v>
      </c>
      <c r="K51" s="302">
        <f>B56-B51</f>
        <v>-0.6579999999952606</v>
      </c>
      <c r="L51" s="302">
        <f>D56-D51</f>
        <v>-7.0000000001943993E-3</v>
      </c>
      <c r="M51" s="302">
        <f>F56-F51</f>
        <v>0</v>
      </c>
      <c r="N51" s="302">
        <f>SUM(K51:M51)</f>
        <v>-0.664999999995455</v>
      </c>
    </row>
    <row r="52" spans="1:14" x14ac:dyDescent="0.2">
      <c r="A52" s="282" t="s">
        <v>356</v>
      </c>
      <c r="B52" s="302">
        <f>'Ind T6'!L19</f>
        <v>0.40999999999576137</v>
      </c>
      <c r="C52" s="299" t="str">
        <f>CONCATENATE("(",ROUND((B52/$H53)*100,1),")")</f>
        <v>(11.6)</v>
      </c>
      <c r="D52" s="302">
        <f>'Ind T6'!M19</f>
        <v>0.11399999999926204</v>
      </c>
      <c r="E52" s="299" t="str">
        <f>CONCATENATE("(",ROUND((D52/$H53)*100,1),")")</f>
        <v>(3.2)</v>
      </c>
      <c r="F52" s="302">
        <f>'Ind T6'!N19</f>
        <v>0</v>
      </c>
      <c r="G52" s="299" t="str">
        <f>CONCATENATE("(",ROUND((F52/$H53)*100,1),")")</f>
        <v>(0)</v>
      </c>
      <c r="H52" s="302">
        <f t="shared" ref="H52" si="51">SUM(B52,D52,F52)</f>
        <v>0.52399999999502345</v>
      </c>
      <c r="I52" s="299" t="str">
        <f>CONCATENATE("(",ROUND((H52/$H53)*100,1),")")</f>
        <v>(14.9)</v>
      </c>
      <c r="K52" s="302">
        <f t="shared" ref="K52:K53" si="52">B57-B52</f>
        <v>-9.1999999993859605E-2</v>
      </c>
      <c r="L52" s="302">
        <f t="shared" ref="L52:L53" si="53">D57-D52</f>
        <v>-2.4000000000140492E-2</v>
      </c>
      <c r="M52" s="302">
        <f t="shared" ref="M52:M53" si="54">F57-F52</f>
        <v>0</v>
      </c>
      <c r="N52" s="302">
        <f t="shared" ref="N52:N53" si="55">SUM(K52:M52)</f>
        <v>-0.1159999999940001</v>
      </c>
    </row>
    <row r="53" spans="1:14" x14ac:dyDescent="0.2">
      <c r="A53" s="282" t="s">
        <v>354</v>
      </c>
      <c r="B53" s="302">
        <f>SUM(B51:B52)</f>
        <v>3.3730000000102156</v>
      </c>
      <c r="C53" s="299" t="str">
        <f>CONCATENATE("(",ROUND((B53/$H53)*100,1),")")</f>
        <v>(95.8)</v>
      </c>
      <c r="D53" s="302">
        <f>SUM(D51:D52)</f>
        <v>0.14899999999961458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3.5220000000098306</v>
      </c>
      <c r="I53" s="299" t="str">
        <f>CONCATENATE("(",ROUND((H53/$H53)*100,1),")")</f>
        <v>(100)</v>
      </c>
      <c r="K53" s="302">
        <f t="shared" si="52"/>
        <v>-0.74999999998912026</v>
      </c>
      <c r="L53" s="302">
        <f t="shared" si="53"/>
        <v>-3.1000000000334899E-2</v>
      </c>
      <c r="M53" s="302">
        <f t="shared" si="54"/>
        <v>0</v>
      </c>
      <c r="N53" s="302">
        <f t="shared" si="55"/>
        <v>-0.78099999998945513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355</v>
      </c>
      <c r="B56" s="302">
        <f>'Ind T6'!Q20</f>
        <v>2.3050000000191937</v>
      </c>
      <c r="C56" s="299" t="str">
        <f>CONCATENATE("(",ROUND((B56/$H58)*100,1),")")</f>
        <v>(84.1)</v>
      </c>
      <c r="D56" s="302">
        <f>'Ind T6'!R20</f>
        <v>2.8000000000158135E-2</v>
      </c>
      <c r="E56" s="299" t="str">
        <f>CONCATENATE("(",ROUND((D56/$H58)*100,1),")")</f>
        <v>(1)</v>
      </c>
      <c r="F56" s="302">
        <f>'Ind T6'!S20</f>
        <v>0</v>
      </c>
      <c r="G56" s="299" t="str">
        <f>CONCATENATE("(",ROUND((F56/$H58)*100,1),")")</f>
        <v>(0)</v>
      </c>
      <c r="H56" s="302">
        <f>SUM(B56,D56,F56)</f>
        <v>2.3330000000193518</v>
      </c>
      <c r="I56" s="299" t="str">
        <f>CONCATENATE("(",ROUND((H56/$H58)*100,1),")")</f>
        <v>(85.1)</v>
      </c>
      <c r="K56" s="302">
        <f>B61-B56</f>
        <v>-0.70900000000137897</v>
      </c>
      <c r="L56" s="302">
        <f>D61-D56</f>
        <v>-7.0000000000413239E-3</v>
      </c>
      <c r="M56" s="302">
        <f>F61-F56</f>
        <v>0</v>
      </c>
      <c r="N56" s="302">
        <f>SUM(K56:M56)</f>
        <v>-0.71600000000142028</v>
      </c>
    </row>
    <row r="57" spans="1:14" x14ac:dyDescent="0.2">
      <c r="A57" s="282" t="s">
        <v>356</v>
      </c>
      <c r="B57" s="302">
        <f>'Ind T6'!Q19</f>
        <v>0.31800000000190176</v>
      </c>
      <c r="C57" s="299" t="str">
        <f>CONCATENATE("(",ROUND((B57/$H58)*100,1),")")</f>
        <v>(11.6)</v>
      </c>
      <c r="D57" s="302">
        <f>'Ind T6'!R19</f>
        <v>8.9999999999121547E-2</v>
      </c>
      <c r="E57" s="299" t="str">
        <f>CONCATENATE("(",ROUND((D57/$H58)*100,1),")")</f>
        <v>(3.3)</v>
      </c>
      <c r="F57" s="302">
        <f>'Ind T6'!S19</f>
        <v>0</v>
      </c>
      <c r="G57" s="299" t="str">
        <f>CONCATENATE("(",ROUND((F57/$H58)*100,1),")")</f>
        <v>(0)</v>
      </c>
      <c r="H57" s="302">
        <f t="shared" ref="H57" si="56">SUM(B57,D57,F57)</f>
        <v>0.40800000000102332</v>
      </c>
      <c r="I57" s="299" t="str">
        <f>CONCATENATE("(",ROUND((H57/$H58)*100,1),")")</f>
        <v>(14.9)</v>
      </c>
      <c r="K57" s="302">
        <f t="shared" ref="K57:K58" si="57">B62-B57</f>
        <v>-0.10500000000191714</v>
      </c>
      <c r="L57" s="302">
        <f t="shared" ref="L57:L58" si="58">D62-D57</f>
        <v>-2.4999999999746517E-2</v>
      </c>
      <c r="M57" s="302">
        <f t="shared" ref="M57:M58" si="59">F62-F57</f>
        <v>0</v>
      </c>
      <c r="N57" s="302">
        <f t="shared" ref="N57:N58" si="60">SUM(K57:M57)</f>
        <v>-0.13000000000166367</v>
      </c>
    </row>
    <row r="58" spans="1:14" x14ac:dyDescent="0.2">
      <c r="A58" s="282" t="s">
        <v>354</v>
      </c>
      <c r="B58" s="302">
        <f>SUM(B56:B57)</f>
        <v>2.6230000000210953</v>
      </c>
      <c r="C58" s="299" t="str">
        <f>CONCATENATE("(",ROUND((B58/$H58)*100,1),")")</f>
        <v>(95.7)</v>
      </c>
      <c r="D58" s="302">
        <f>SUM(D56:D57)</f>
        <v>0.11799999999927968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2.7410000000203754</v>
      </c>
      <c r="I58" s="299" t="str">
        <f>CONCATENATE("(",ROUND((H58/$H58)*100,1),")")</f>
        <v>(100)</v>
      </c>
      <c r="K58" s="302">
        <f t="shared" si="57"/>
        <v>-0.81400000000329609</v>
      </c>
      <c r="L58" s="302">
        <f t="shared" si="58"/>
        <v>-3.1999999999787837E-2</v>
      </c>
      <c r="M58" s="302">
        <f t="shared" si="59"/>
        <v>0</v>
      </c>
      <c r="N58" s="302">
        <f t="shared" si="60"/>
        <v>-0.84600000000308395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355</v>
      </c>
      <c r="B61" s="302">
        <f>'Ind T6'!V20</f>
        <v>1.5960000000178147</v>
      </c>
      <c r="C61" s="299" t="str">
        <f>CONCATENATE("(",ROUND((B61/$H63)*100,1),")")</f>
        <v>(84.2)</v>
      </c>
      <c r="D61" s="302">
        <f>'Ind T6'!W20</f>
        <v>2.1000000000116811E-2</v>
      </c>
      <c r="E61" s="299" t="str">
        <f>CONCATENATE("(",ROUND((D61/$H63)*100,1),")")</f>
        <v>(1.1)</v>
      </c>
      <c r="F61" s="302">
        <f>'Ind T6'!X20</f>
        <v>0</v>
      </c>
      <c r="G61" s="299" t="str">
        <f>CONCATENATE("(",ROUND((F61/$H63)*100,1),")")</f>
        <v>(0)</v>
      </c>
      <c r="H61" s="302">
        <f>SUM(B61,D61,F61)</f>
        <v>1.6170000000179314</v>
      </c>
      <c r="I61" s="299" t="str">
        <f>CONCATENATE("(",ROUND((H61/$H63)*100,1),")")</f>
        <v>(85.3)</v>
      </c>
      <c r="K61" s="302">
        <f>B61-B51</f>
        <v>-1.3669999999966396</v>
      </c>
      <c r="L61" s="302">
        <f>D61-D51</f>
        <v>-1.4000000000235723E-2</v>
      </c>
      <c r="M61" s="302">
        <f>F61-F51</f>
        <v>0</v>
      </c>
      <c r="N61" s="302">
        <f>SUM(K61:M61)</f>
        <v>-1.3809999999968754</v>
      </c>
    </row>
    <row r="62" spans="1:14" x14ac:dyDescent="0.2">
      <c r="A62" s="282" t="s">
        <v>356</v>
      </c>
      <c r="B62" s="302">
        <f>'Ind T6'!V19</f>
        <v>0.21299999999998462</v>
      </c>
      <c r="C62" s="299" t="str">
        <f>CONCATENATE("(",ROUND((B62/$H63)*100,1),")")</f>
        <v>(11.2)</v>
      </c>
      <c r="D62" s="302">
        <f>'Ind T6'!W19</f>
        <v>6.499999999937503E-2</v>
      </c>
      <c r="E62" s="299" t="str">
        <f>CONCATENATE("(",ROUND((D62/$H63)*100,1),")")</f>
        <v>(3.4)</v>
      </c>
      <c r="F62" s="302">
        <f>'Ind T6'!X19</f>
        <v>0</v>
      </c>
      <c r="G62" s="299" t="str">
        <f>CONCATENATE("(",ROUND((F62/$H63)*100,1),")")</f>
        <v>(0)</v>
      </c>
      <c r="H62" s="302">
        <f t="shared" ref="H62" si="61">SUM(B62,D62,F62)</f>
        <v>0.27799999999935965</v>
      </c>
      <c r="I62" s="299" t="str">
        <f>CONCATENATE("(",ROUND((H62/$H63)*100,1),")")</f>
        <v>(14.7)</v>
      </c>
      <c r="K62" s="302">
        <f t="shared" ref="K62:K63" si="62">B62-B52</f>
        <v>-0.19699999999577675</v>
      </c>
      <c r="L62" s="302">
        <f t="shared" ref="L62:L63" si="63">D62-D52</f>
        <v>-4.8999999999887009E-2</v>
      </c>
      <c r="M62" s="302">
        <f t="shared" ref="M62:M63" si="64">F62-F52</f>
        <v>0</v>
      </c>
      <c r="N62" s="302">
        <f t="shared" ref="N62:N63" si="65">SUM(K62:M62)</f>
        <v>-0.24599999999566374</v>
      </c>
    </row>
    <row r="63" spans="1:14" x14ac:dyDescent="0.2">
      <c r="A63" s="282" t="s">
        <v>354</v>
      </c>
      <c r="B63" s="302">
        <f>SUM(B61:B62)</f>
        <v>1.8090000000177993</v>
      </c>
      <c r="C63" s="299" t="str">
        <f>CONCATENATE("(",ROUND((B63/$H63)*100,1),")")</f>
        <v>(95.5)</v>
      </c>
      <c r="D63" s="302">
        <f>SUM(D61:D62)</f>
        <v>8.5999999999491844E-2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1.8950000000172911</v>
      </c>
      <c r="I63" s="299" t="str">
        <f>CONCATENATE("(",ROUND((H63/$H63)*100,1),")")</f>
        <v>(100)</v>
      </c>
      <c r="K63" s="302">
        <f t="shared" si="62"/>
        <v>-1.5639999999924163</v>
      </c>
      <c r="L63" s="302">
        <f t="shared" si="63"/>
        <v>-6.3000000000122736E-2</v>
      </c>
      <c r="M63" s="302">
        <f t="shared" si="64"/>
        <v>0</v>
      </c>
      <c r="N63" s="302">
        <f t="shared" si="65"/>
        <v>-1.6269999999925391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377</v>
      </c>
    </row>
    <row r="70" spans="1:14" x14ac:dyDescent="0.2">
      <c r="A70" s="181" t="s">
        <v>378</v>
      </c>
      <c r="B70" s="369" t="s">
        <v>376</v>
      </c>
      <c r="C70" s="369"/>
      <c r="D70" s="369" t="s">
        <v>375</v>
      </c>
      <c r="E70" s="369"/>
      <c r="F70" s="369" t="s">
        <v>374</v>
      </c>
      <c r="G70" s="369"/>
      <c r="H70" s="369" t="s">
        <v>32</v>
      </c>
      <c r="I70" s="369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2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2">
      <c r="A72" s="282" t="s">
        <v>355</v>
      </c>
      <c r="B72" s="302">
        <f>'Ind T6'!L40</f>
        <v>18.822000000214278</v>
      </c>
      <c r="C72" s="299" t="str">
        <f>CONCATENATE("(",ROUND((B72/$H74)*100,1),")")</f>
        <v>(53.1)</v>
      </c>
      <c r="D72" s="302">
        <f>'Ind T6'!M40</f>
        <v>1.5219999999907001</v>
      </c>
      <c r="E72" s="299" t="str">
        <f>CONCATENATE("(",ROUND((D72/$H74)*100,1),")")</f>
        <v>(4.3)</v>
      </c>
      <c r="F72" s="302">
        <f>'Ind T6'!N40</f>
        <v>0.79499999999540016</v>
      </c>
      <c r="G72" s="299" t="str">
        <f>CONCATENATE("(",ROUND((F72/$H74)*100,1),")")</f>
        <v>(2.2)</v>
      </c>
      <c r="H72" s="302">
        <f>SUM(B72,D72,F72)</f>
        <v>21.13900000020038</v>
      </c>
      <c r="I72" s="299" t="str">
        <f>CONCATENATE("(",ROUND((H72/$H74)*100,1),")")</f>
        <v>(59.7)</v>
      </c>
      <c r="K72" s="302">
        <f>B77-B72</f>
        <v>-1.534999999988095</v>
      </c>
      <c r="L72" s="302">
        <f>D77-D72</f>
        <v>-0.10899999999346499</v>
      </c>
      <c r="M72" s="302">
        <f>F77-F72</f>
        <v>-4.9999999998687206E-2</v>
      </c>
      <c r="N72" s="302">
        <f>SUM(K72:M72)</f>
        <v>-1.6939999999802473</v>
      </c>
    </row>
    <row r="73" spans="1:14" x14ac:dyDescent="0.2">
      <c r="A73" s="282" t="s">
        <v>356</v>
      </c>
      <c r="B73" s="302">
        <f>'Ind T6'!L39</f>
        <v>8.9499999999851472</v>
      </c>
      <c r="C73" s="299" t="str">
        <f>CONCATENATE("(",ROUND((B73/$H74)*100,1),")")</f>
        <v>(25.3)</v>
      </c>
      <c r="D73" s="302">
        <f>'Ind T6'!M39</f>
        <v>3.0520000000723333</v>
      </c>
      <c r="E73" s="299" t="str">
        <f>CONCATENATE("(",ROUND((D73/$H74)*100,1),")")</f>
        <v>(8.6)</v>
      </c>
      <c r="F73" s="302">
        <f>'Ind T6'!N39</f>
        <v>2.2879999999622136</v>
      </c>
      <c r="G73" s="299" t="str">
        <f>CONCATENATE("(",ROUND((F73/$H74)*100,1),")")</f>
        <v>(6.5)</v>
      </c>
      <c r="H73" s="302">
        <f t="shared" ref="H73" si="66">SUM(B73,D73,F73)</f>
        <v>14.290000000019694</v>
      </c>
      <c r="I73" s="299" t="str">
        <f>CONCATENATE("(",ROUND((H73/$H74)*100,1),")")</f>
        <v>(40.3)</v>
      </c>
      <c r="K73" s="302">
        <f t="shared" ref="K73:K74" si="67">B78-B73</f>
        <v>-0.32899999969861149</v>
      </c>
      <c r="L73" s="302">
        <f t="shared" ref="L73:L74" si="68">D78-D73</f>
        <v>-0.22399999994049979</v>
      </c>
      <c r="M73" s="302">
        <f t="shared" ref="M73:M74" si="69">F78-F73</f>
        <v>-0.10499999996225595</v>
      </c>
      <c r="N73" s="302">
        <f t="shared" ref="N73:N74" si="70">SUM(K73:M73)</f>
        <v>-0.65799999960136724</v>
      </c>
    </row>
    <row r="74" spans="1:14" x14ac:dyDescent="0.2">
      <c r="A74" s="282" t="s">
        <v>354</v>
      </c>
      <c r="B74" s="302">
        <f>SUM(B72:B73)</f>
        <v>27.772000000199426</v>
      </c>
      <c r="C74" s="299" t="str">
        <f>CONCATENATE("(",ROUND((B74/$H74)*100,1),")")</f>
        <v>(78.4)</v>
      </c>
      <c r="D74" s="302">
        <f>SUM(D72:D73)</f>
        <v>4.5740000000630339</v>
      </c>
      <c r="E74" s="299" t="str">
        <f>CONCATENATE("(",ROUND((D74/$H74)*100,1),")")</f>
        <v>(12.9)</v>
      </c>
      <c r="F74" s="302">
        <f>SUM(F72:F73)</f>
        <v>3.0829999999576136</v>
      </c>
      <c r="G74" s="299" t="str">
        <f>CONCATENATE("(",ROUND((F74/$H74)*100,1),")")</f>
        <v>(8.7)</v>
      </c>
      <c r="H74" s="302">
        <f>SUM(H72:H73)</f>
        <v>35.429000000220071</v>
      </c>
      <c r="I74" s="299" t="str">
        <f>CONCATENATE("(",ROUND((H74/$H74)*100,1),")")</f>
        <v>(100)</v>
      </c>
      <c r="K74" s="302">
        <f t="shared" si="67"/>
        <v>-1.8639999996867083</v>
      </c>
      <c r="L74" s="302">
        <f t="shared" si="68"/>
        <v>-0.33299999993396501</v>
      </c>
      <c r="M74" s="302">
        <f t="shared" si="69"/>
        <v>-0.15499999996094305</v>
      </c>
      <c r="N74" s="302">
        <f t="shared" si="70"/>
        <v>-2.3519999995816163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355</v>
      </c>
      <c r="B77" s="302">
        <f>'Ind T6'!Q40</f>
        <v>17.287000000226183</v>
      </c>
      <c r="C77" s="299" t="str">
        <f>CONCATENATE("(",ROUND((B77/$H79)*100,1),")")</f>
        <v>(52.3)</v>
      </c>
      <c r="D77" s="302">
        <f>'Ind T6'!R40</f>
        <v>1.4129999999972351</v>
      </c>
      <c r="E77" s="299" t="str">
        <f>CONCATENATE("(",ROUND((D77/$H79)*100,1),")")</f>
        <v>(4.3)</v>
      </c>
      <c r="F77" s="302">
        <f>'Ind T6'!S40</f>
        <v>0.74499999999671296</v>
      </c>
      <c r="G77" s="299" t="str">
        <f>CONCATENATE("(",ROUND((F77/$H79)*100,1),")")</f>
        <v>(2.3)</v>
      </c>
      <c r="H77" s="302">
        <f>SUM(B77,D77,F77)</f>
        <v>19.445000000220134</v>
      </c>
      <c r="I77" s="299" t="str">
        <f>CONCATENATE("(",ROUND((H77/$H79)*100,1),")")</f>
        <v>(58.8)</v>
      </c>
      <c r="K77" s="302">
        <f>B82-B77</f>
        <v>-3.3569999999892381</v>
      </c>
      <c r="L77" s="302">
        <f>D82-D77</f>
        <v>-0.24900000000115785</v>
      </c>
      <c r="M77" s="302">
        <f>F82-F77</f>
        <v>-0.10999999999585275</v>
      </c>
      <c r="N77" s="302">
        <f>SUM(K77:M77)</f>
        <v>-3.7159999999862485</v>
      </c>
    </row>
    <row r="78" spans="1:14" x14ac:dyDescent="0.2">
      <c r="A78" s="282" t="s">
        <v>356</v>
      </c>
      <c r="B78" s="302">
        <f>'Ind T6'!Q39</f>
        <v>8.6210000002865357</v>
      </c>
      <c r="C78" s="299" t="str">
        <f>CONCATENATE("(",ROUND((B78/$H79)*100,1),")")</f>
        <v>(26.1)</v>
      </c>
      <c r="D78" s="302">
        <f>'Ind T6'!R39</f>
        <v>2.8280000001318335</v>
      </c>
      <c r="E78" s="299" t="str">
        <f>CONCATENATE("(",ROUND((D78/$H79)*100,1),")")</f>
        <v>(8.5)</v>
      </c>
      <c r="F78" s="302">
        <f>'Ind T6'!S39</f>
        <v>2.1829999999999576</v>
      </c>
      <c r="G78" s="299" t="str">
        <f>CONCATENATE("(",ROUND((F78/$H79)*100,1),")")</f>
        <v>(6.6)</v>
      </c>
      <c r="H78" s="302">
        <f t="shared" ref="H78" si="71">SUM(B78,D78,F78)</f>
        <v>13.632000000418326</v>
      </c>
      <c r="I78" s="299" t="str">
        <f>CONCATENATE("(",ROUND((H78/$H79)*100,1),")")</f>
        <v>(41.2)</v>
      </c>
      <c r="K78" s="302">
        <f t="shared" ref="K78:K79" si="72">B83-B78</f>
        <v>-1.0360000003258101</v>
      </c>
      <c r="L78" s="302">
        <f t="shared" ref="L78:L79" si="73">D83-D78</f>
        <v>-0.5150000001570838</v>
      </c>
      <c r="M78" s="302">
        <f t="shared" ref="M78:M79" si="74">F83-F78</f>
        <v>-0.31100000000871431</v>
      </c>
      <c r="N78" s="302">
        <f t="shared" ref="N78:N79" si="75">SUM(K78:M78)</f>
        <v>-1.8620000004916082</v>
      </c>
    </row>
    <row r="79" spans="1:14" x14ac:dyDescent="0.2">
      <c r="A79" s="282" t="s">
        <v>354</v>
      </c>
      <c r="B79" s="302">
        <f>SUM(B77:B78)</f>
        <v>25.908000000512718</v>
      </c>
      <c r="C79" s="299" t="str">
        <f>CONCATENATE("(",ROUND((B79/$H79)*100,1),")")</f>
        <v>(78.3)</v>
      </c>
      <c r="D79" s="302">
        <f>SUM(D77:D78)</f>
        <v>4.2410000001290689</v>
      </c>
      <c r="E79" s="299" t="str">
        <f>CONCATENATE("(",ROUND((D79/$H79)*100,1),")")</f>
        <v>(12.8)</v>
      </c>
      <c r="F79" s="302">
        <f>SUM(F77:F78)</f>
        <v>2.9279999999966706</v>
      </c>
      <c r="G79" s="299" t="str">
        <f>CONCATENATE("(",ROUND((F79/$H79)*100,1),")")</f>
        <v>(8.9)</v>
      </c>
      <c r="H79" s="302">
        <f>SUM(H77:H78)</f>
        <v>33.077000000638463</v>
      </c>
      <c r="I79" s="299" t="str">
        <f>CONCATENATE("(",ROUND((H79/$H79)*100,1),")")</f>
        <v>(100)</v>
      </c>
      <c r="K79" s="302">
        <f t="shared" si="72"/>
        <v>-4.3930000003150482</v>
      </c>
      <c r="L79" s="302">
        <f t="shared" si="73"/>
        <v>-0.76400000015824165</v>
      </c>
      <c r="M79" s="302">
        <f t="shared" si="74"/>
        <v>-0.42100000000456683</v>
      </c>
      <c r="N79" s="302">
        <f t="shared" si="75"/>
        <v>-5.5780000004778572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355</v>
      </c>
      <c r="B82" s="302">
        <f>'Ind T6'!V40</f>
        <v>13.930000000236944</v>
      </c>
      <c r="C82" s="299" t="str">
        <f>CONCATENATE("(",ROUND((B82/$H84)*100,1),")")</f>
        <v>(50.7)</v>
      </c>
      <c r="D82" s="302">
        <f>'Ind T6'!W40</f>
        <v>1.1639999999960773</v>
      </c>
      <c r="E82" s="299" t="str">
        <f>CONCATENATE("(",ROUND((D82/$H84)*100,1),")")</f>
        <v>(4.2)</v>
      </c>
      <c r="F82" s="302">
        <f>'Ind T6'!X40</f>
        <v>0.63500000000086021</v>
      </c>
      <c r="G82" s="299" t="str">
        <f>CONCATENATE("(",ROUND((F82/$H84)*100,1),")")</f>
        <v>(2.3)</v>
      </c>
      <c r="H82" s="302">
        <f>SUM(B82,D82,F82)</f>
        <v>15.729000000233881</v>
      </c>
      <c r="I82" s="299" t="str">
        <f>CONCATENATE("(",ROUND((H82/$H84)*100,1),")")</f>
        <v>(57.2)</v>
      </c>
      <c r="K82" s="302">
        <f>B82-B72</f>
        <v>-4.8919999999773331</v>
      </c>
      <c r="L82" s="302">
        <f>D82-D72</f>
        <v>-0.35799999999462284</v>
      </c>
      <c r="M82" s="302">
        <f>F82-F72</f>
        <v>-0.15999999999453995</v>
      </c>
      <c r="N82" s="302">
        <f>SUM(K82:M82)</f>
        <v>-5.4099999999664954</v>
      </c>
    </row>
    <row r="83" spans="1:14" x14ac:dyDescent="0.2">
      <c r="A83" s="282" t="s">
        <v>356</v>
      </c>
      <c r="B83" s="302">
        <f>'Ind T6'!V39</f>
        <v>7.5849999999607256</v>
      </c>
      <c r="C83" s="299" t="str">
        <f>CONCATENATE("(",ROUND((B83/$H84)*100,1),")")</f>
        <v>(27.6)</v>
      </c>
      <c r="D83" s="302">
        <f>'Ind T6'!W39</f>
        <v>2.3129999999747497</v>
      </c>
      <c r="E83" s="299" t="str">
        <f>CONCATENATE("(",ROUND((D83/$H84)*100,1),")")</f>
        <v>(8.4)</v>
      </c>
      <c r="F83" s="302">
        <f>'Ind T6'!X39</f>
        <v>1.8719999999912433</v>
      </c>
      <c r="G83" s="299" t="str">
        <f>CONCATENATE("(",ROUND((F83/$H84)*100,1),")")</f>
        <v>(6.8)</v>
      </c>
      <c r="H83" s="302">
        <f t="shared" ref="H83" si="76">SUM(B83,D83,F83)</f>
        <v>11.769999999926718</v>
      </c>
      <c r="I83" s="299" t="str">
        <f>CONCATENATE("(",ROUND((H83/$H84)*100,1),")")</f>
        <v>(42.8)</v>
      </c>
      <c r="K83" s="302">
        <f t="shared" ref="K83:K84" si="77">B83-B73</f>
        <v>-1.3650000000244216</v>
      </c>
      <c r="L83" s="302">
        <f t="shared" ref="L83:L84" si="78">D83-D73</f>
        <v>-0.7390000000975836</v>
      </c>
      <c r="M83" s="302">
        <f t="shared" ref="M83:M84" si="79">F83-F73</f>
        <v>-0.41599999997097026</v>
      </c>
      <c r="N83" s="302">
        <f t="shared" ref="N83:N84" si="80">SUM(K83:M83)</f>
        <v>-2.5200000000929754</v>
      </c>
    </row>
    <row r="84" spans="1:14" x14ac:dyDescent="0.2">
      <c r="A84" s="282" t="s">
        <v>354</v>
      </c>
      <c r="B84" s="302">
        <f>SUM(B82:B83)</f>
        <v>21.51500000019767</v>
      </c>
      <c r="C84" s="299" t="str">
        <f>CONCATENATE("(",ROUND((B84/$H84)*100,1),")")</f>
        <v>(78.2)</v>
      </c>
      <c r="D84" s="302">
        <f>SUM(D82:D83)</f>
        <v>3.4769999999708272</v>
      </c>
      <c r="E84" s="299" t="str">
        <f>CONCATENATE("(",ROUND((D84/$H84)*100,1),")")</f>
        <v>(12.6)</v>
      </c>
      <c r="F84" s="302">
        <f>SUM(F82:F83)</f>
        <v>2.5069999999921038</v>
      </c>
      <c r="G84" s="299" t="str">
        <f>CONCATENATE("(",ROUND((F84/$H84)*100,1),")")</f>
        <v>(9.1)</v>
      </c>
      <c r="H84" s="302">
        <f>SUM(H82:H83)</f>
        <v>27.499000000160599</v>
      </c>
      <c r="I84" s="299" t="str">
        <f>CONCATENATE("(",ROUND((H84/$H84)*100,1),")")</f>
        <v>(100)</v>
      </c>
      <c r="K84" s="302">
        <f t="shared" si="77"/>
        <v>-6.2570000000017565</v>
      </c>
      <c r="L84" s="302">
        <f t="shared" si="78"/>
        <v>-1.0970000000922067</v>
      </c>
      <c r="M84" s="302">
        <f t="shared" si="79"/>
        <v>-0.57599999996550988</v>
      </c>
      <c r="N84" s="302">
        <f t="shared" si="80"/>
        <v>-7.930000000059473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377</v>
      </c>
    </row>
    <row r="91" spans="1:14" x14ac:dyDescent="0.2">
      <c r="A91" s="181" t="s">
        <v>378</v>
      </c>
      <c r="B91" s="369" t="s">
        <v>376</v>
      </c>
      <c r="C91" s="369"/>
      <c r="D91" s="369" t="s">
        <v>375</v>
      </c>
      <c r="E91" s="369"/>
      <c r="F91" s="369" t="s">
        <v>374</v>
      </c>
      <c r="G91" s="369"/>
      <c r="H91" s="369" t="s">
        <v>32</v>
      </c>
      <c r="I91" s="369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2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2">
      <c r="A93" s="282" t="s">
        <v>355</v>
      </c>
      <c r="B93" s="302">
        <f>'Ind T6'!L65</f>
        <v>27.700000000012654</v>
      </c>
      <c r="C93" s="299" t="str">
        <f>CONCATENATE("(",ROUND((B93/$H95)*100,1),")")</f>
        <v>(65.8)</v>
      </c>
      <c r="D93" s="302">
        <f>'Ind T6'!M65</f>
        <v>0.96999999999475905</v>
      </c>
      <c r="E93" s="299" t="str">
        <f>CONCATENATE("(",ROUND((D93/$H95)*100,1),")")</f>
        <v>(2.3)</v>
      </c>
      <c r="F93" s="302">
        <f>'Ind T6'!N65</f>
        <v>1.5600000000199405</v>
      </c>
      <c r="G93" s="299" t="str">
        <f>CONCATENATE("(",ROUND((F93/$H95)*100,1),")")</f>
        <v>(3.7)</v>
      </c>
      <c r="H93" s="302">
        <f>SUM(B93,D93,F93)</f>
        <v>30.230000000027353</v>
      </c>
      <c r="I93" s="299" t="str">
        <f>CONCATENATE("(",ROUND((H93/$H95)*100,1),")")</f>
        <v>(71.8)</v>
      </c>
      <c r="K93" s="302">
        <f>B98-B93</f>
        <v>-1.0469999998854327</v>
      </c>
      <c r="L93" s="302">
        <f>D98-D93</f>
        <v>-9.9999999955835417E-4</v>
      </c>
      <c r="M93" s="302">
        <f>F98-F93</f>
        <v>1.0000000232155415E-3</v>
      </c>
      <c r="N93" s="302">
        <f>SUM(K93:M93)</f>
        <v>-1.0469999998617756</v>
      </c>
    </row>
    <row r="94" spans="1:14" x14ac:dyDescent="0.2">
      <c r="A94" s="282" t="s">
        <v>356</v>
      </c>
      <c r="B94" s="302">
        <f>'Ind T6'!L64</f>
        <v>7.8789999999413434</v>
      </c>
      <c r="C94" s="299" t="str">
        <f>CONCATENATE("(",ROUND((B94/$H95)*100,1),")")</f>
        <v>(18.7)</v>
      </c>
      <c r="D94" s="302">
        <f>'Ind T6'!M64</f>
        <v>1.7800000000251355</v>
      </c>
      <c r="E94" s="299" t="str">
        <f>CONCATENATE("(",ROUND((D94/$H95)*100,1),")")</f>
        <v>(4.2)</v>
      </c>
      <c r="F94" s="302">
        <f>'Ind T6'!N64</f>
        <v>2.2139999999675286</v>
      </c>
      <c r="G94" s="299" t="str">
        <f>CONCATENATE("(",ROUND((F94/$H95)*100,1),")")</f>
        <v>(5.3)</v>
      </c>
      <c r="H94" s="302">
        <f t="shared" ref="H94" si="81">SUM(B94,D94,F94)</f>
        <v>11.872999999934008</v>
      </c>
      <c r="I94" s="299" t="str">
        <f>CONCATENATE("(",ROUND((H94/$H95)*100,1),")")</f>
        <v>(28.2)</v>
      </c>
      <c r="K94" s="302">
        <f t="shared" ref="K94:K95" si="82">B99-B94</f>
        <v>-0.4389999997972911</v>
      </c>
      <c r="L94" s="302">
        <f t="shared" ref="L94:L95" si="83">D99-D94</f>
        <v>-2.5999999972181831E-2</v>
      </c>
      <c r="M94" s="302">
        <f t="shared" ref="M94:M95" si="84">F99-F94</f>
        <v>-4.6999999971201856E-2</v>
      </c>
      <c r="N94" s="302">
        <f t="shared" ref="N94:N95" si="85">SUM(K94:M94)</f>
        <v>-0.51199999974067478</v>
      </c>
    </row>
    <row r="95" spans="1:14" x14ac:dyDescent="0.2">
      <c r="A95" s="282" t="s">
        <v>354</v>
      </c>
      <c r="B95" s="302">
        <f>SUM(B93:B94)</f>
        <v>35.578999999954</v>
      </c>
      <c r="C95" s="299" t="str">
        <f>CONCATENATE("(",ROUND((B95/$H95)*100,1),")")</f>
        <v>(84.5)</v>
      </c>
      <c r="D95" s="302">
        <f>SUM(D93:D94)</f>
        <v>2.7500000000198943</v>
      </c>
      <c r="E95" s="299" t="str">
        <f>CONCATENATE("(",ROUND((D95/$H95)*100,1),")")</f>
        <v>(6.5)</v>
      </c>
      <c r="F95" s="302">
        <f>SUM(F93:F94)</f>
        <v>3.7739999999874692</v>
      </c>
      <c r="G95" s="299" t="str">
        <f>CONCATENATE("(",ROUND((F95/$H95)*100,1),")")</f>
        <v>(9)</v>
      </c>
      <c r="H95" s="302">
        <f>SUM(H93:H94)</f>
        <v>42.102999999961362</v>
      </c>
      <c r="I95" s="299" t="str">
        <f>CONCATENATE("(",ROUND((H95/$H95)*100,1),")")</f>
        <v>(100)</v>
      </c>
      <c r="K95" s="302">
        <f t="shared" si="82"/>
        <v>-1.4859999996827256</v>
      </c>
      <c r="L95" s="302">
        <f t="shared" si="83"/>
        <v>-2.6999999971740074E-2</v>
      </c>
      <c r="M95" s="302">
        <f t="shared" si="84"/>
        <v>-4.5999999947986314E-2</v>
      </c>
      <c r="N95" s="302">
        <f t="shared" si="85"/>
        <v>-1.5589999996024519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355</v>
      </c>
      <c r="B98" s="302">
        <f>'Ind T6'!Q65</f>
        <v>26.653000000127221</v>
      </c>
      <c r="C98" s="299" t="str">
        <f>CONCATENATE("(",ROUND((B98/$H100)*100,1),")")</f>
        <v>(65.7)</v>
      </c>
      <c r="D98" s="302">
        <f>'Ind T6'!R65</f>
        <v>0.9689999999952007</v>
      </c>
      <c r="E98" s="299" t="str">
        <f>CONCATENATE("(",ROUND((D98/$H100)*100,1),")")</f>
        <v>(2.4)</v>
      </c>
      <c r="F98" s="302">
        <f>'Ind T6'!S65</f>
        <v>1.5610000000431561</v>
      </c>
      <c r="G98" s="299" t="str">
        <f>CONCATENATE("(",ROUND((F98/$H100)*100,1),")")</f>
        <v>(3.9)</v>
      </c>
      <c r="H98" s="302">
        <f>SUM(B98,D98,F98)</f>
        <v>29.183000000165578</v>
      </c>
      <c r="I98" s="299" t="str">
        <f>CONCATENATE("(",ROUND((H98/$H100)*100,1),")")</f>
        <v>(72)</v>
      </c>
      <c r="K98" s="302">
        <f>B103-B98</f>
        <v>-4.6739999999660284</v>
      </c>
      <c r="L98" s="302">
        <f>D103-D98</f>
        <v>-8.7000000001247302E-2</v>
      </c>
      <c r="M98" s="302">
        <f>F103-F98</f>
        <v>-0.16500000000301274</v>
      </c>
      <c r="N98" s="302">
        <f>SUM(K98:M98)</f>
        <v>-4.9259999999702888</v>
      </c>
    </row>
    <row r="99" spans="1:14" x14ac:dyDescent="0.2">
      <c r="A99" s="282" t="s">
        <v>356</v>
      </c>
      <c r="B99" s="302">
        <f>'Ind T6'!Q64</f>
        <v>7.4400000001440523</v>
      </c>
      <c r="C99" s="299" t="str">
        <f>CONCATENATE("(",ROUND((B99/$H100)*100,1),")")</f>
        <v>(18.4)</v>
      </c>
      <c r="D99" s="302">
        <f>'Ind T6'!R64</f>
        <v>1.7540000000529536</v>
      </c>
      <c r="E99" s="299" t="str">
        <f>CONCATENATE("(",ROUND((D99/$H100)*100,1),")")</f>
        <v>(4.3)</v>
      </c>
      <c r="F99" s="302">
        <f>'Ind T6'!S64</f>
        <v>2.1669999999963268</v>
      </c>
      <c r="G99" s="299" t="str">
        <f>CONCATENATE("(",ROUND((F99/$H100)*100,1),")")</f>
        <v>(5.3)</v>
      </c>
      <c r="H99" s="302">
        <f t="shared" ref="H99" si="86">SUM(B99,D99,F99)</f>
        <v>11.361000000193332</v>
      </c>
      <c r="I99" s="299" t="str">
        <f>CONCATENATE("(",ROUND((H99/$H100)*100,1),")")</f>
        <v>(28)</v>
      </c>
      <c r="K99" s="302">
        <f t="shared" ref="K99:K100" si="87">B104-B99</f>
        <v>-1.4650000001273229</v>
      </c>
      <c r="L99" s="302">
        <f t="shared" ref="L99:L100" si="88">D104-D99</f>
        <v>-0.16700000006577342</v>
      </c>
      <c r="M99" s="302">
        <f t="shared" ref="M99:M100" si="89">F104-F99</f>
        <v>-0.23700000000522259</v>
      </c>
      <c r="N99" s="302">
        <f t="shared" ref="N99:N100" si="90">SUM(K99:M99)</f>
        <v>-1.8690000001983189</v>
      </c>
    </row>
    <row r="100" spans="1:14" x14ac:dyDescent="0.2">
      <c r="A100" s="282" t="s">
        <v>354</v>
      </c>
      <c r="B100" s="302">
        <f>SUM(B98:B99)</f>
        <v>34.093000000271275</v>
      </c>
      <c r="C100" s="299" t="str">
        <f>CONCATENATE("(",ROUND((B100/$H100)*100,1),")")</f>
        <v>(84.1)</v>
      </c>
      <c r="D100" s="302">
        <f>SUM(D98:D99)</f>
        <v>2.7230000000481542</v>
      </c>
      <c r="E100" s="299" t="str">
        <f>CONCATENATE("(",ROUND((D100/$H100)*100,1),")")</f>
        <v>(6.7)</v>
      </c>
      <c r="F100" s="302">
        <f>SUM(F98:F99)</f>
        <v>3.7280000000394828</v>
      </c>
      <c r="G100" s="299" t="str">
        <f>CONCATENATE("(",ROUND((F100/$H100)*100,1),")")</f>
        <v>(9.2)</v>
      </c>
      <c r="H100" s="302">
        <f>SUM(H98:H99)</f>
        <v>40.544000000358906</v>
      </c>
      <c r="I100" s="299" t="str">
        <f>CONCATENATE("(",ROUND((H100/$H100)*100,1),")")</f>
        <v>(100)</v>
      </c>
      <c r="K100" s="302">
        <f t="shared" si="87"/>
        <v>-6.139000000093354</v>
      </c>
      <c r="L100" s="302">
        <f t="shared" si="88"/>
        <v>-0.25400000006702061</v>
      </c>
      <c r="M100" s="302">
        <f t="shared" si="89"/>
        <v>-0.40200000000823533</v>
      </c>
      <c r="N100" s="302">
        <f t="shared" si="90"/>
        <v>-6.7950000001686099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355</v>
      </c>
      <c r="B103" s="302">
        <f>'Ind T6'!V65</f>
        <v>21.979000000161193</v>
      </c>
      <c r="C103" s="299" t="str">
        <f>CONCATENATE("(",ROUND((B103/$H105)*100,1),")")</f>
        <v>(65.1)</v>
      </c>
      <c r="D103" s="302">
        <f>'Ind T6'!W65</f>
        <v>0.8819999999939534</v>
      </c>
      <c r="E103" s="299" t="str">
        <f>CONCATENATE("(",ROUND((D103/$H105)*100,1),")")</f>
        <v>(2.6)</v>
      </c>
      <c r="F103" s="302">
        <f>'Ind T6'!X65</f>
        <v>1.3960000000401434</v>
      </c>
      <c r="G103" s="299" t="str">
        <f>CONCATENATE("(",ROUND((F103/$H105)*100,1),")")</f>
        <v>(4.1)</v>
      </c>
      <c r="H103" s="302">
        <f>SUM(B103,D103,F103)</f>
        <v>24.257000000195291</v>
      </c>
      <c r="I103" s="299" t="str">
        <f>CONCATENATE("(",ROUND((H103/$H105)*100,1),")")</f>
        <v>(71.9)</v>
      </c>
      <c r="K103" s="302">
        <f>B103-B93</f>
        <v>-5.7209999998514611</v>
      </c>
      <c r="L103" s="302">
        <f>D103-D93</f>
        <v>-8.8000000000805656E-2</v>
      </c>
      <c r="M103" s="302">
        <f>F103-F93</f>
        <v>-0.1639999999797972</v>
      </c>
      <c r="N103" s="302">
        <f>SUM(K103:M103)</f>
        <v>-5.972999999832064</v>
      </c>
    </row>
    <row r="104" spans="1:14" x14ac:dyDescent="0.2">
      <c r="A104" s="282" t="s">
        <v>356</v>
      </c>
      <c r="B104" s="302">
        <f>'Ind T6'!V64</f>
        <v>5.9750000000167294</v>
      </c>
      <c r="C104" s="299" t="str">
        <f>CONCATENATE("(",ROUND((B104/$H105)*100,1),")")</f>
        <v>(17.7)</v>
      </c>
      <c r="D104" s="302">
        <f>'Ind T6'!W64</f>
        <v>1.5869999999871802</v>
      </c>
      <c r="E104" s="299" t="str">
        <f>CONCATENATE("(",ROUND((D104/$H105)*100,1),")")</f>
        <v>(4.7)</v>
      </c>
      <c r="F104" s="302">
        <f>'Ind T6'!X64</f>
        <v>1.9299999999911042</v>
      </c>
      <c r="G104" s="299" t="str">
        <f>CONCATENATE("(",ROUND((F104/$H105)*100,1),")")</f>
        <v>(5.7)</v>
      </c>
      <c r="H104" s="302">
        <f t="shared" ref="H104" si="91">SUM(B104,D104,F104)</f>
        <v>9.4919999999950129</v>
      </c>
      <c r="I104" s="299" t="str">
        <f>CONCATENATE("(",ROUND((H104/$H105)*100,1),")")</f>
        <v>(28.1)</v>
      </c>
      <c r="K104" s="302">
        <f t="shared" ref="K104:K105" si="92">B104-B94</f>
        <v>-1.903999999924614</v>
      </c>
      <c r="L104" s="302">
        <f t="shared" ref="L104:L105" si="93">D104-D94</f>
        <v>-0.19300000003795525</v>
      </c>
      <c r="M104" s="302">
        <f t="shared" ref="M104:M105" si="94">F104-F94</f>
        <v>-0.28399999997642444</v>
      </c>
      <c r="N104" s="302">
        <f t="shared" ref="N104:N105" si="95">SUM(K104:M104)</f>
        <v>-2.3809999999389935</v>
      </c>
    </row>
    <row r="105" spans="1:14" x14ac:dyDescent="0.2">
      <c r="A105" s="282" t="s">
        <v>354</v>
      </c>
      <c r="B105" s="302">
        <f>SUM(B103:B104)</f>
        <v>27.954000000177921</v>
      </c>
      <c r="C105" s="299" t="str">
        <f>CONCATENATE("(",ROUND((B105/$H105)*100,1),")")</f>
        <v>(82.8)</v>
      </c>
      <c r="D105" s="302">
        <f>SUM(D103:D104)</f>
        <v>2.4689999999811336</v>
      </c>
      <c r="E105" s="299" t="str">
        <f>CONCATENATE("(",ROUND((D105/$H105)*100,1),")")</f>
        <v>(7.3)</v>
      </c>
      <c r="F105" s="302">
        <f>SUM(F103:F104)</f>
        <v>3.3260000000312475</v>
      </c>
      <c r="G105" s="299" t="str">
        <f>CONCATENATE("(",ROUND((F105/$H105)*100,1),")")</f>
        <v>(9.9)</v>
      </c>
      <c r="H105" s="302">
        <f>SUM(H103:H104)</f>
        <v>33.749000000190307</v>
      </c>
      <c r="I105" s="299" t="str">
        <f>CONCATENATE("(",ROUND((H105/$H105)*100,1),")")</f>
        <v>(100)</v>
      </c>
      <c r="K105" s="302">
        <f t="shared" si="92"/>
        <v>-7.6249999997760796</v>
      </c>
      <c r="L105" s="302">
        <f t="shared" si="93"/>
        <v>-0.28100000003876069</v>
      </c>
      <c r="M105" s="302">
        <f t="shared" si="94"/>
        <v>-0.44799999995622164</v>
      </c>
      <c r="N105" s="302">
        <f t="shared" si="95"/>
        <v>-8.3539999997710623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1"/>
      <c r="E109" s="181"/>
      <c r="G109" s="181"/>
      <c r="I109" s="181"/>
    </row>
    <row r="110" spans="1:14" x14ac:dyDescent="0.2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377</v>
      </c>
    </row>
    <row r="112" spans="1:14" x14ac:dyDescent="0.2">
      <c r="A112" s="181" t="s">
        <v>378</v>
      </c>
      <c r="B112" s="369" t="s">
        <v>376</v>
      </c>
      <c r="C112" s="369"/>
      <c r="D112" s="369" t="s">
        <v>375</v>
      </c>
      <c r="E112" s="369"/>
      <c r="F112" s="369" t="s">
        <v>374</v>
      </c>
      <c r="G112" s="369"/>
      <c r="H112" s="369" t="s">
        <v>32</v>
      </c>
      <c r="I112" s="369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2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355</v>
      </c>
      <c r="B114" s="302">
        <f>'Ind T6'!L155</f>
        <v>108.75800000033001</v>
      </c>
      <c r="C114" s="299" t="str">
        <f>CONCATENATE("(",ROUND((B114/$H116)*100,1),")")</f>
        <v>(68)</v>
      </c>
      <c r="D114" s="302">
        <f>'Ind T6'!M155</f>
        <v>4.335000000034106</v>
      </c>
      <c r="E114" s="299" t="str">
        <f>CONCATENATE("(",ROUND((D114/$H116)*100,1),")")</f>
        <v>(2.7)</v>
      </c>
      <c r="F114" s="302">
        <f>'Ind T6'!N155</f>
        <v>9.4000000000011497</v>
      </c>
      <c r="G114" s="299" t="str">
        <f>CONCATENATE("(",ROUND((F114/$H116)*100,1),")")</f>
        <v>(5.9)</v>
      </c>
      <c r="H114" s="302">
        <f>SUM(B114,D114,F114)</f>
        <v>122.49300000036527</v>
      </c>
      <c r="I114" s="299" t="str">
        <f>CONCATENATE("(",ROUND((H114/$H116)*100,1),")")</f>
        <v>(76.6)</v>
      </c>
      <c r="K114" s="302">
        <f>B119-B114</f>
        <v>-5.9879999996913966</v>
      </c>
      <c r="L114" s="302">
        <f>D119-D114</f>
        <v>-0.16400000001779791</v>
      </c>
      <c r="M114" s="302">
        <f>F119-F114</f>
        <v>-0.38500000009866753</v>
      </c>
      <c r="N114" s="302">
        <f>SUM(K114:M114)</f>
        <v>-6.5369999998078621</v>
      </c>
    </row>
    <row r="115" spans="1:14" x14ac:dyDescent="0.2">
      <c r="A115" s="282" t="s">
        <v>356</v>
      </c>
      <c r="B115" s="302">
        <f>'Ind T6'!L154</f>
        <v>23.363999999770709</v>
      </c>
      <c r="C115" s="299" t="str">
        <f>CONCATENATE("(",ROUND((B115/$H116)*100,1),")")</f>
        <v>(14.6)</v>
      </c>
      <c r="D115" s="302">
        <f>'Ind T6'!M154</f>
        <v>6.883000000098848</v>
      </c>
      <c r="E115" s="299" t="str">
        <f>CONCATENATE("(",ROUND((D115/$H116)*100,1),")")</f>
        <v>(4.3)</v>
      </c>
      <c r="F115" s="302">
        <f>'Ind T6'!N154</f>
        <v>7.2289999998971881</v>
      </c>
      <c r="G115" s="299" t="str">
        <f>CONCATENATE("(",ROUND((F115/$H116)*100,1),")")</f>
        <v>(4.5)</v>
      </c>
      <c r="H115" s="302">
        <f t="shared" ref="H115" si="96">SUM(B115,D115,F115)</f>
        <v>37.475999999766749</v>
      </c>
      <c r="I115" s="299" t="str">
        <f>CONCATENATE("(",ROUND((H115/$H116)*100,1),")")</f>
        <v>(23.4)</v>
      </c>
      <c r="K115" s="302">
        <f t="shared" ref="K115:K116" si="97">B120-B115</f>
        <v>-0.53699999947566113</v>
      </c>
      <c r="L115" s="302">
        <f t="shared" ref="L115:L116" si="98">D120-D115</f>
        <v>-0.27499999989305479</v>
      </c>
      <c r="M115" s="302">
        <f t="shared" ref="M115:M116" si="99">F120-F115</f>
        <v>-0.45399999987325312</v>
      </c>
      <c r="N115" s="302">
        <f t="shared" ref="N115:N116" si="100">SUM(K115:M115)</f>
        <v>-1.265999999241969</v>
      </c>
    </row>
    <row r="116" spans="1:14" x14ac:dyDescent="0.2">
      <c r="A116" s="282" t="s">
        <v>354</v>
      </c>
      <c r="B116" s="302">
        <f>SUM(B114:B115)</f>
        <v>132.12200000010071</v>
      </c>
      <c r="C116" s="299" t="str">
        <f>CONCATENATE("(",ROUND((B116/$H116)*100,1),")")</f>
        <v>(82.6)</v>
      </c>
      <c r="D116" s="302">
        <f>SUM(D114:D115)</f>
        <v>11.218000000132953</v>
      </c>
      <c r="E116" s="299" t="str">
        <f>CONCATENATE("(",ROUND((D116/$H116)*100,1),")")</f>
        <v>(7)</v>
      </c>
      <c r="F116" s="302">
        <f>SUM(F114:F115)</f>
        <v>16.628999999898337</v>
      </c>
      <c r="G116" s="299" t="str">
        <f>CONCATENATE("(",ROUND((F116/$H116)*100,1),")")</f>
        <v>(10.4)</v>
      </c>
      <c r="H116" s="302">
        <f>SUM(H114:H115)</f>
        <v>159.96900000013201</v>
      </c>
      <c r="I116" s="299" t="str">
        <f>CONCATENATE("(",ROUND((H116/$H116)*100,1),")")</f>
        <v>(100)</v>
      </c>
      <c r="K116" s="302">
        <f t="shared" si="97"/>
        <v>-6.5249999991670506</v>
      </c>
      <c r="L116" s="302">
        <f t="shared" si="98"/>
        <v>-0.43899999991085181</v>
      </c>
      <c r="M116" s="302">
        <f t="shared" si="99"/>
        <v>-0.83899999997191976</v>
      </c>
      <c r="N116" s="302">
        <f t="shared" si="100"/>
        <v>-7.8029999990498222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355</v>
      </c>
      <c r="B119" s="302">
        <f>'Ind T6'!Q155</f>
        <v>102.77000000063862</v>
      </c>
      <c r="C119" s="299" t="str">
        <f>CONCATENATE("(",ROUND((B119/$H121)*100,1),")")</f>
        <v>(67.5)</v>
      </c>
      <c r="D119" s="302">
        <f>'Ind T6'!R155</f>
        <v>4.1710000000163081</v>
      </c>
      <c r="E119" s="299" t="str">
        <f>CONCATENATE("(",ROUND((D119/$H121)*100,1),")")</f>
        <v>(2.7)</v>
      </c>
      <c r="F119" s="302">
        <f>'Ind T6'!S155</f>
        <v>9.0149999999024821</v>
      </c>
      <c r="G119" s="299" t="str">
        <f>CONCATENATE("(",ROUND((F119/$H121)*100,1),")")</f>
        <v>(5.9)</v>
      </c>
      <c r="H119" s="302">
        <f>SUM(B119,D119,F119)</f>
        <v>115.95600000055741</v>
      </c>
      <c r="I119" s="299" t="str">
        <f>CONCATENATE("(",ROUND((H119/$H121)*100,1),")")</f>
        <v>(76.2)</v>
      </c>
      <c r="K119" s="302">
        <f>B124-B119</f>
        <v>-3.1499999999356589</v>
      </c>
      <c r="L119" s="302">
        <f>D124-D119</f>
        <v>-0.13499999998962675</v>
      </c>
      <c r="M119" s="302">
        <f>F124-F119</f>
        <v>6.7000000070235544E-2</v>
      </c>
      <c r="N119" s="302">
        <f>SUM(K119:M119)</f>
        <v>-3.2179999998550501</v>
      </c>
    </row>
    <row r="120" spans="1:14" x14ac:dyDescent="0.2">
      <c r="A120" s="282" t="s">
        <v>356</v>
      </c>
      <c r="B120" s="302">
        <f>'Ind T6'!Q154</f>
        <v>22.827000000295047</v>
      </c>
      <c r="C120" s="299" t="str">
        <f>CONCATENATE("(",ROUND((B120/$H121)*100,1),")")</f>
        <v>(15)</v>
      </c>
      <c r="D120" s="302">
        <f>'Ind T6'!R154</f>
        <v>6.6080000002057933</v>
      </c>
      <c r="E120" s="299" t="str">
        <f>CONCATENATE("(",ROUND((D120/$H121)*100,1),")")</f>
        <v>(4.3)</v>
      </c>
      <c r="F120" s="302">
        <f>'Ind T6'!S154</f>
        <v>6.775000000023935</v>
      </c>
      <c r="G120" s="299" t="str">
        <f>CONCATENATE("(",ROUND((F120/$H121)*100,1),")")</f>
        <v>(4.5)</v>
      </c>
      <c r="H120" s="302">
        <f t="shared" ref="H120" si="101">SUM(B120,D120,F120)</f>
        <v>36.210000000524779</v>
      </c>
      <c r="I120" s="299" t="str">
        <f>CONCATENATE("(",ROUND((H120/$H121)*100,1),")")</f>
        <v>(23.8)</v>
      </c>
      <c r="K120" s="302">
        <f t="shared" ref="K120:K121" si="102">B125-B120</f>
        <v>0.30899999981125603</v>
      </c>
      <c r="L120" s="302">
        <f t="shared" ref="L120:L121" si="103">D125-D120</f>
        <v>-7.3000000267873233E-2</v>
      </c>
      <c r="M120" s="302">
        <f t="shared" ref="M120:M121" si="104">F125-F120</f>
        <v>-0.39500000004810865</v>
      </c>
      <c r="N120" s="302">
        <f t="shared" ref="N120:N121" si="105">SUM(K120:M120)</f>
        <v>-0.15900000050472585</v>
      </c>
    </row>
    <row r="121" spans="1:14" x14ac:dyDescent="0.2">
      <c r="A121" s="282" t="s">
        <v>354</v>
      </c>
      <c r="B121" s="302">
        <f>SUM(B119:B120)</f>
        <v>125.59700000093366</v>
      </c>
      <c r="C121" s="299" t="str">
        <f>CONCATENATE("(",ROUND((B121/$H121)*100,1),")")</f>
        <v>(82.5)</v>
      </c>
      <c r="D121" s="302">
        <f>SUM(D119:D120)</f>
        <v>10.779000000222101</v>
      </c>
      <c r="E121" s="299" t="str">
        <f>CONCATENATE("(",ROUND((D121/$H121)*100,1),")")</f>
        <v>(7.1)</v>
      </c>
      <c r="F121" s="302">
        <f>SUM(F119:F120)</f>
        <v>15.789999999926417</v>
      </c>
      <c r="G121" s="299" t="str">
        <f>CONCATENATE("(",ROUND((F121/$H121)*100,1),")")</f>
        <v>(10.4)</v>
      </c>
      <c r="H121" s="302">
        <f>SUM(H119:H120)</f>
        <v>152.16600000108218</v>
      </c>
      <c r="I121" s="299" t="str">
        <f>CONCATENATE("(",ROUND((H121/$H121)*100,1),")")</f>
        <v>(100)</v>
      </c>
      <c r="K121" s="302">
        <f t="shared" si="102"/>
        <v>-2.8410000001243958</v>
      </c>
      <c r="L121" s="302">
        <f t="shared" si="103"/>
        <v>-0.2080000002574991</v>
      </c>
      <c r="M121" s="302">
        <f t="shared" si="104"/>
        <v>-0.3279999999778731</v>
      </c>
      <c r="N121" s="302">
        <f t="shared" si="105"/>
        <v>-3.377000000359768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355</v>
      </c>
      <c r="B124" s="302">
        <f>'Ind T6'!V155</f>
        <v>99.620000000702959</v>
      </c>
      <c r="C124" s="299" t="str">
        <f>CONCATENATE("(",ROUND((B124/$H126)*100,1),")")</f>
        <v>(67)</v>
      </c>
      <c r="D124" s="302">
        <f>'Ind T6'!W155</f>
        <v>4.0360000000266814</v>
      </c>
      <c r="E124" s="299" t="str">
        <f>CONCATENATE("(",ROUND((D124/$H126)*100,1),")")</f>
        <v>(2.7)</v>
      </c>
      <c r="F124" s="302">
        <f>'Ind T6'!X155</f>
        <v>9.0819999999727177</v>
      </c>
      <c r="G124" s="299" t="str">
        <f>CONCATENATE("(",ROUND((F124/$H126)*100,1),")")</f>
        <v>(6.1)</v>
      </c>
      <c r="H124" s="302">
        <f>SUM(B124,D124,F124)</f>
        <v>112.73800000070236</v>
      </c>
      <c r="I124" s="299" t="str">
        <f>CONCATENATE("(",ROUND((H124/$H126)*100,1),")")</f>
        <v>(75.8)</v>
      </c>
      <c r="K124" s="302">
        <f>B124-B114</f>
        <v>-9.1379999996270556</v>
      </c>
      <c r="L124" s="302">
        <f>D124-D114</f>
        <v>-0.29900000000742466</v>
      </c>
      <c r="M124" s="302">
        <f>F124-F114</f>
        <v>-0.31800000002843198</v>
      </c>
      <c r="N124" s="302">
        <f>SUM(K124:M124)</f>
        <v>-9.7549999996629122</v>
      </c>
    </row>
    <row r="125" spans="1:14" x14ac:dyDescent="0.2">
      <c r="A125" s="282" t="s">
        <v>356</v>
      </c>
      <c r="B125" s="302">
        <f>'Ind T6'!V154</f>
        <v>23.136000000106304</v>
      </c>
      <c r="C125" s="299" t="str">
        <f>CONCATENATE("(",ROUND((B125/$H126)*100,1),")")</f>
        <v>(15.5)</v>
      </c>
      <c r="D125" s="302">
        <f>'Ind T6'!W154</f>
        <v>6.53499999993792</v>
      </c>
      <c r="E125" s="299" t="str">
        <f>CONCATENATE("(",ROUND((D125/$H126)*100,1),")")</f>
        <v>(4.4)</v>
      </c>
      <c r="F125" s="302">
        <f>'Ind T6'!X154</f>
        <v>6.3799999999758263</v>
      </c>
      <c r="G125" s="299" t="str">
        <f>CONCATENATE("(",ROUND((F125/$H126)*100,1),")")</f>
        <v>(4.3)</v>
      </c>
      <c r="H125" s="302">
        <f t="shared" ref="H125" si="106">SUM(B125,D125,F125)</f>
        <v>36.051000000020053</v>
      </c>
      <c r="I125" s="299" t="str">
        <f>CONCATENATE("(",ROUND((H125/$H126)*100,1),")")</f>
        <v>(24.2)</v>
      </c>
      <c r="K125" s="302">
        <f t="shared" ref="K125:K126" si="107">B125-B115</f>
        <v>-0.2279999996644051</v>
      </c>
      <c r="L125" s="302">
        <f t="shared" ref="L125:L126" si="108">D125-D115</f>
        <v>-0.34800000016092802</v>
      </c>
      <c r="M125" s="302">
        <f t="shared" ref="M125:M126" si="109">F125-F115</f>
        <v>-0.84899999992136177</v>
      </c>
      <c r="N125" s="302">
        <f t="shared" ref="N125:N126" si="110">SUM(K125:M125)</f>
        <v>-1.4249999997466949</v>
      </c>
    </row>
    <row r="126" spans="1:14" x14ac:dyDescent="0.2">
      <c r="A126" s="282" t="s">
        <v>354</v>
      </c>
      <c r="B126" s="302">
        <f>SUM(B124:B125)</f>
        <v>122.75600000080927</v>
      </c>
      <c r="C126" s="299" t="str">
        <f>CONCATENATE("(",ROUND((B126/$H126)*100,1),")")</f>
        <v>(82.5)</v>
      </c>
      <c r="D126" s="302">
        <f>SUM(D124:D125)</f>
        <v>10.570999999964602</v>
      </c>
      <c r="E126" s="299" t="str">
        <f>CONCATENATE("(",ROUND((D126/$H126)*100,1),")")</f>
        <v>(7.1)</v>
      </c>
      <c r="F126" s="302">
        <f>SUM(F124:F125)</f>
        <v>15.461999999948544</v>
      </c>
      <c r="G126" s="299" t="str">
        <f>CONCATENATE("(",ROUND((F126/$H126)*100,1),")")</f>
        <v>(10.4)</v>
      </c>
      <c r="H126" s="302">
        <f>SUM(H124:H125)</f>
        <v>148.78900000072241</v>
      </c>
      <c r="I126" s="299" t="str">
        <f>CONCATENATE("(",ROUND((H126/$H126)*100,1),")")</f>
        <v>(100)</v>
      </c>
      <c r="K126" s="302">
        <f t="shared" si="107"/>
        <v>-9.3659999992914464</v>
      </c>
      <c r="L126" s="302">
        <f t="shared" si="108"/>
        <v>-0.64700000016835091</v>
      </c>
      <c r="M126" s="302">
        <f t="shared" si="109"/>
        <v>-1.1669999999497929</v>
      </c>
      <c r="N126" s="302">
        <f t="shared" si="110"/>
        <v>-11.17999999940959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377</v>
      </c>
    </row>
    <row r="133" spans="1:14" x14ac:dyDescent="0.2">
      <c r="A133" s="181" t="s">
        <v>378</v>
      </c>
      <c r="B133" s="369" t="s">
        <v>376</v>
      </c>
      <c r="C133" s="369"/>
      <c r="D133" s="369" t="s">
        <v>375</v>
      </c>
      <c r="E133" s="369"/>
      <c r="F133" s="369" t="s">
        <v>374</v>
      </c>
      <c r="G133" s="369"/>
      <c r="H133" s="369" t="s">
        <v>32</v>
      </c>
      <c r="I133" s="369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2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355</v>
      </c>
      <c r="B135" s="302">
        <f>'Ind T6'!L165</f>
        <v>10.238999999938281</v>
      </c>
      <c r="C135" s="299" t="str">
        <f>CONCATENATE("(",ROUND((B135/$H137)*100,1),")")</f>
        <v>(66.7)</v>
      </c>
      <c r="D135" s="302">
        <f>'Ind T6'!M165</f>
        <v>0.6250000000002125</v>
      </c>
      <c r="E135" s="299" t="str">
        <f>CONCATENATE("(",ROUND((D135/$H137)*100,1),")")</f>
        <v>(4.1)</v>
      </c>
      <c r="F135" s="302">
        <f>'Ind T6'!N165</f>
        <v>0</v>
      </c>
      <c r="G135" s="299" t="str">
        <f>CONCATENATE("(",ROUND((F135/$H137)*100,1),")")</f>
        <v>(0)</v>
      </c>
      <c r="H135" s="302">
        <f>SUM(B135,D135,F135)</f>
        <v>10.863999999938494</v>
      </c>
      <c r="I135" s="299" t="str">
        <f>CONCATENATE("(",ROUND((H135/$H137)*100,1),")")</f>
        <v>(70.8)</v>
      </c>
      <c r="K135" s="302">
        <f>B140-B135</f>
        <v>-0.61999999995172672</v>
      </c>
      <c r="L135" s="302">
        <f>D140-D135</f>
        <v>-2.4999999998472244E-2</v>
      </c>
      <c r="M135" s="302">
        <f>F140-F135</f>
        <v>0</v>
      </c>
      <c r="N135" s="302">
        <f>SUM(K135:M135)</f>
        <v>-0.64499999995019897</v>
      </c>
    </row>
    <row r="136" spans="1:14" x14ac:dyDescent="0.2">
      <c r="A136" s="282" t="s">
        <v>356</v>
      </c>
      <c r="B136" s="302">
        <f>'Ind T6'!L164</f>
        <v>3.4389999999936256</v>
      </c>
      <c r="C136" s="299" t="str">
        <f>CONCATENATE("(",ROUND((B136/$H137)*100,1),")")</f>
        <v>(22.4)</v>
      </c>
      <c r="D136" s="302">
        <f>'Ind T6'!M164</f>
        <v>1.0490000000226245</v>
      </c>
      <c r="E136" s="299" t="str">
        <f>CONCATENATE("(",ROUND((D136/$H137)*100,1),")")</f>
        <v>(6.8)</v>
      </c>
      <c r="F136" s="302">
        <f>'Ind T6'!N164</f>
        <v>0</v>
      </c>
      <c r="G136" s="299" t="str">
        <f>CONCATENATE("(",ROUND((F136/$H137)*100,1),")")</f>
        <v>(0)</v>
      </c>
      <c r="H136" s="302">
        <f t="shared" ref="H136" si="111">SUM(B136,D136,F136)</f>
        <v>4.4880000000162497</v>
      </c>
      <c r="I136" s="299" t="str">
        <f>CONCATENATE("(",ROUND((H136/$H137)*100,1),")")</f>
        <v>(29.2)</v>
      </c>
      <c r="K136" s="302">
        <f t="shared" ref="K136:K137" si="112">B141-B136</f>
        <v>-0.15699999985732971</v>
      </c>
      <c r="L136" s="302">
        <f t="shared" ref="L136:L137" si="113">D141-D136</f>
        <v>-5.7999999977054628E-2</v>
      </c>
      <c r="M136" s="302">
        <f t="shared" ref="M136:M137" si="114">F141-F136</f>
        <v>0</v>
      </c>
      <c r="N136" s="302">
        <f t="shared" ref="N136:N137" si="115">SUM(K136:M136)</f>
        <v>-0.21499999983438434</v>
      </c>
    </row>
    <row r="137" spans="1:14" x14ac:dyDescent="0.2">
      <c r="A137" s="282" t="s">
        <v>354</v>
      </c>
      <c r="B137" s="302">
        <f>SUM(B135:B136)</f>
        <v>13.677999999931906</v>
      </c>
      <c r="C137" s="299" t="str">
        <f>CONCATENATE("(",ROUND((B137/$H137)*100,1),")")</f>
        <v>(89.1)</v>
      </c>
      <c r="D137" s="302">
        <f>SUM(D135:D136)</f>
        <v>1.674000000022837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15.351999999954744</v>
      </c>
      <c r="I137" s="299" t="str">
        <f>CONCATENATE("(",ROUND((H137/$H137)*100,1),")")</f>
        <v>(100)</v>
      </c>
      <c r="K137" s="302">
        <f t="shared" si="112"/>
        <v>-0.7769999998090551</v>
      </c>
      <c r="L137" s="302">
        <f t="shared" si="113"/>
        <v>-8.2999999975526872E-2</v>
      </c>
      <c r="M137" s="302">
        <f t="shared" si="114"/>
        <v>0</v>
      </c>
      <c r="N137" s="302">
        <f t="shared" si="115"/>
        <v>-0.85999999978458197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355</v>
      </c>
      <c r="B140" s="302">
        <f>'Ind T6'!Q165</f>
        <v>9.6189999999865545</v>
      </c>
      <c r="C140" s="299" t="str">
        <f>CONCATENATE("(",ROUND((B140/$H142)*100,1),")")</f>
        <v>(66.4)</v>
      </c>
      <c r="D140" s="302">
        <f>'Ind T6'!R165</f>
        <v>0.60000000000174025</v>
      </c>
      <c r="E140" s="299" t="str">
        <f>CONCATENATE("(",ROUND((D140/$H142)*100,1),")")</f>
        <v>(4.1)</v>
      </c>
      <c r="F140" s="302">
        <f>'Ind T6'!S165</f>
        <v>0</v>
      </c>
      <c r="G140" s="299" t="str">
        <f>CONCATENATE("(",ROUND((F140/$H142)*100,1),")")</f>
        <v>(0)</v>
      </c>
      <c r="H140" s="302">
        <f>SUM(B140,D140,F140)</f>
        <v>10.218999999988295</v>
      </c>
      <c r="I140" s="299" t="str">
        <f>CONCATENATE("(",ROUND((H140/$H142)*100,1),")")</f>
        <v>(70.5)</v>
      </c>
      <c r="K140" s="302">
        <f>B145-B140</f>
        <v>-0.37400000002435085</v>
      </c>
      <c r="L140" s="302">
        <f>D145-D140</f>
        <v>1.0000000010678134E-3</v>
      </c>
      <c r="M140" s="302">
        <f>F145-F140</f>
        <v>0</v>
      </c>
      <c r="N140" s="302">
        <f>SUM(K140:M140)</f>
        <v>-0.37300000002328304</v>
      </c>
    </row>
    <row r="141" spans="1:14" x14ac:dyDescent="0.2">
      <c r="A141" s="282" t="s">
        <v>356</v>
      </c>
      <c r="B141" s="302">
        <f>'Ind T6'!Q164</f>
        <v>3.2820000001362959</v>
      </c>
      <c r="C141" s="299" t="str">
        <f>CONCATENATE("(",ROUND((B141/$H142)*100,1),")")</f>
        <v>(22.6)</v>
      </c>
      <c r="D141" s="302">
        <f>'Ind T6'!R164</f>
        <v>0.99100000004556987</v>
      </c>
      <c r="E141" s="299" t="str">
        <f>CONCATENATE("(",ROUND((D141/$H142)*100,1),")")</f>
        <v>(6.8)</v>
      </c>
      <c r="F141" s="302">
        <f>'Ind T6'!S164</f>
        <v>0</v>
      </c>
      <c r="G141" s="299" t="str">
        <f>CONCATENATE("(",ROUND((F141/$H142)*100,1),")")</f>
        <v>(0)</v>
      </c>
      <c r="H141" s="302">
        <f t="shared" ref="H141" si="116">SUM(B141,D141,F141)</f>
        <v>4.2730000001818658</v>
      </c>
      <c r="I141" s="299" t="str">
        <f>CONCATENATE("(",ROUND((H141/$H142)*100,1),")")</f>
        <v>(29.5)</v>
      </c>
      <c r="K141" s="302">
        <f t="shared" ref="K141:K142" si="117">B146-B141</f>
        <v>-2.5000000185976035E-2</v>
      </c>
      <c r="L141" s="302">
        <f t="shared" ref="L141:L142" si="118">D146-D141</f>
        <v>-2.6000000063274853E-2</v>
      </c>
      <c r="M141" s="302">
        <f t="shared" ref="M141:M142" si="119">F146-F141</f>
        <v>0</v>
      </c>
      <c r="N141" s="302">
        <f t="shared" ref="N141:N142" si="120">SUM(K141:M141)</f>
        <v>-5.1000000249250887E-2</v>
      </c>
    </row>
    <row r="142" spans="1:14" x14ac:dyDescent="0.2">
      <c r="A142" s="282" t="s">
        <v>354</v>
      </c>
      <c r="B142" s="302">
        <f>SUM(B140:B141)</f>
        <v>12.901000000122851</v>
      </c>
      <c r="C142" s="299" t="str">
        <f>CONCATENATE("(",ROUND((B142/$H142)*100,1),")")</f>
        <v>(89)</v>
      </c>
      <c r="D142" s="302">
        <f>SUM(D140:D141)</f>
        <v>1.5910000000473101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14.492000000170162</v>
      </c>
      <c r="I142" s="299" t="str">
        <f>CONCATENATE("(",ROUND((H142/$H142)*100,1),")")</f>
        <v>(100)</v>
      </c>
      <c r="K142" s="302">
        <f t="shared" si="117"/>
        <v>-0.39900000021032689</v>
      </c>
      <c r="L142" s="302">
        <f t="shared" si="118"/>
        <v>-2.500000006220704E-2</v>
      </c>
      <c r="M142" s="302">
        <f t="shared" si="119"/>
        <v>0</v>
      </c>
      <c r="N142" s="302">
        <f t="shared" si="120"/>
        <v>-0.42400000027253393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355</v>
      </c>
      <c r="B145" s="302">
        <f>'Ind T6'!V165</f>
        <v>9.2449999999622037</v>
      </c>
      <c r="C145" s="299" t="str">
        <f>CONCATENATE("(",ROUND((B145/$H147)*100,1),")")</f>
        <v>(65.7)</v>
      </c>
      <c r="D145" s="302">
        <f>'Ind T6'!W165</f>
        <v>0.60100000000280807</v>
      </c>
      <c r="E145" s="299" t="str">
        <f>CONCATENATE("(",ROUND((D145/$H147)*100,1),")")</f>
        <v>(4.3)</v>
      </c>
      <c r="F145" s="302">
        <f>'Ind T6'!X165</f>
        <v>0</v>
      </c>
      <c r="G145" s="299" t="str">
        <f>CONCATENATE("(",ROUND((F145/$H147)*100,1),")")</f>
        <v>(0)</v>
      </c>
      <c r="H145" s="302">
        <f>SUM(B145,D145,F145)</f>
        <v>9.8459999999650112</v>
      </c>
      <c r="I145" s="299" t="str">
        <f>CONCATENATE("(",ROUND((H145/$H147)*100,1),")")</f>
        <v>(70)</v>
      </c>
      <c r="K145" s="302">
        <f>B145-B135</f>
        <v>-0.99399999997607758</v>
      </c>
      <c r="L145" s="302">
        <f>D145-D135</f>
        <v>-2.3999999997404431E-2</v>
      </c>
      <c r="M145" s="302">
        <f>F145-F135</f>
        <v>0</v>
      </c>
      <c r="N145" s="302">
        <f>SUM(K145:M145)</f>
        <v>-1.0179999999734819</v>
      </c>
    </row>
    <row r="146" spans="1:14" x14ac:dyDescent="0.2">
      <c r="A146" s="282" t="s">
        <v>356</v>
      </c>
      <c r="B146" s="302">
        <f>'Ind T6'!V164</f>
        <v>3.2569999999503199</v>
      </c>
      <c r="C146" s="299" t="str">
        <f>CONCATENATE("(",ROUND((B146/$H147)*100,1),")")</f>
        <v>(23.2)</v>
      </c>
      <c r="D146" s="302">
        <f>'Ind T6'!W164</f>
        <v>0.96499999998229502</v>
      </c>
      <c r="E146" s="299" t="str">
        <f>CONCATENATE("(",ROUND((D146/$H147)*100,1),")")</f>
        <v>(6.9)</v>
      </c>
      <c r="F146" s="302">
        <f>'Ind T6'!X164</f>
        <v>0</v>
      </c>
      <c r="G146" s="299" t="str">
        <f>CONCATENATE("(",ROUND((F146/$H147)*100,1),")")</f>
        <v>(0)</v>
      </c>
      <c r="H146" s="302">
        <f t="shared" ref="H146" si="121">SUM(B146,D146,F146)</f>
        <v>4.2219999999326152</v>
      </c>
      <c r="I146" s="299" t="str">
        <f>CONCATENATE("(",ROUND((H146/$H147)*100,1),")")</f>
        <v>(30)</v>
      </c>
      <c r="K146" s="302">
        <f t="shared" ref="K146:K147" si="122">B146-B136</f>
        <v>-0.18200000004330574</v>
      </c>
      <c r="L146" s="302">
        <f t="shared" ref="L146:L147" si="123">D146-D136</f>
        <v>-8.4000000040329481E-2</v>
      </c>
      <c r="M146" s="302">
        <f t="shared" ref="M146:M147" si="124">F146-F136</f>
        <v>0</v>
      </c>
      <c r="N146" s="302">
        <f t="shared" ref="N146:N147" si="125">SUM(K146:M146)</f>
        <v>-0.26600000008363522</v>
      </c>
    </row>
    <row r="147" spans="1:14" x14ac:dyDescent="0.2">
      <c r="A147" s="282" t="s">
        <v>354</v>
      </c>
      <c r="B147" s="302">
        <f>SUM(B145:B146)</f>
        <v>12.501999999912524</v>
      </c>
      <c r="C147" s="299" t="str">
        <f>CONCATENATE("(",ROUND((B147/$H147)*100,1),")")</f>
        <v>(88.9)</v>
      </c>
      <c r="D147" s="302">
        <f>SUM(D145:D146)</f>
        <v>1.5659999999851031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14.067999999897626</v>
      </c>
      <c r="I147" s="299" t="str">
        <f>CONCATENATE("(",ROUND((H147/$H147)*100,1),")")</f>
        <v>(100)</v>
      </c>
      <c r="K147" s="302">
        <f t="shared" si="122"/>
        <v>-1.176000000019382</v>
      </c>
      <c r="L147" s="302">
        <f t="shared" si="123"/>
        <v>-0.10800000003773391</v>
      </c>
      <c r="M147" s="302">
        <f t="shared" si="124"/>
        <v>0</v>
      </c>
      <c r="N147" s="302">
        <f t="shared" si="125"/>
        <v>-1.2840000000571159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1"/>
      <c r="E151" s="181"/>
      <c r="G151" s="181"/>
      <c r="I151" s="181"/>
    </row>
    <row r="152" spans="1:14" x14ac:dyDescent="0.2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377</v>
      </c>
    </row>
    <row r="154" spans="1:14" x14ac:dyDescent="0.2">
      <c r="A154" s="181" t="s">
        <v>378</v>
      </c>
      <c r="B154" s="369" t="s">
        <v>376</v>
      </c>
      <c r="C154" s="369"/>
      <c r="D154" s="369" t="s">
        <v>375</v>
      </c>
      <c r="E154" s="369"/>
      <c r="F154" s="369" t="s">
        <v>374</v>
      </c>
      <c r="G154" s="369"/>
      <c r="H154" s="369" t="s">
        <v>32</v>
      </c>
      <c r="I154" s="369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2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355</v>
      </c>
      <c r="B156" s="302">
        <f>'Ind T6'!L190</f>
        <v>16.187000000094201</v>
      </c>
      <c r="C156" s="299" t="str">
        <f>CONCATENATE("(",ROUND((B156/$H158)*100,1),")")</f>
        <v>(75.6)</v>
      </c>
      <c r="D156" s="302">
        <f>'Ind T6'!M190</f>
        <v>0.74000000000601307</v>
      </c>
      <c r="E156" s="299" t="str">
        <f>CONCATENATE("(",ROUND((D156/$H158)*100,1),")")</f>
        <v>(3.5)</v>
      </c>
      <c r="F156" s="302">
        <f>'Ind T6'!N190</f>
        <v>0</v>
      </c>
      <c r="G156" s="299" t="str">
        <f>CONCATENATE("(",ROUND((F156/$H158)*100,1),")")</f>
        <v>(0)</v>
      </c>
      <c r="H156" s="302">
        <f>SUM(B156,D156,F156)</f>
        <v>16.927000000100215</v>
      </c>
      <c r="I156" s="299" t="str">
        <f>CONCATENATE("(",ROUND((H156/$H158)*100,1),")")</f>
        <v>(79)</v>
      </c>
      <c r="K156" s="302">
        <f>B161-B156</f>
        <v>0.81500000004589523</v>
      </c>
      <c r="L156" s="302">
        <f>D161-D156</f>
        <v>4.5999999999837615E-2</v>
      </c>
      <c r="M156" s="302">
        <f>F161-F156</f>
        <v>0</v>
      </c>
      <c r="N156" s="302">
        <f>SUM(K156:M156)</f>
        <v>0.86100000004573285</v>
      </c>
    </row>
    <row r="157" spans="1:14" x14ac:dyDescent="0.2">
      <c r="A157" s="282" t="s">
        <v>356</v>
      </c>
      <c r="B157" s="302">
        <f>'Ind T6'!L189</f>
        <v>3.0179999999728224</v>
      </c>
      <c r="C157" s="299" t="str">
        <f>CONCATENATE("(",ROUND((B157/$H158)*100,1),")")</f>
        <v>(14.1)</v>
      </c>
      <c r="D157" s="302">
        <f>'Ind T6'!M189</f>
        <v>1.3890000000103893</v>
      </c>
      <c r="E157" s="299" t="str">
        <f>CONCATENATE("(",ROUND((D157/$H158)*100,1),")")</f>
        <v>(6.5)</v>
      </c>
      <c r="F157" s="302">
        <f>'Ind T6'!N189</f>
        <v>7.9999999999124188E-2</v>
      </c>
      <c r="G157" s="299" t="str">
        <f>CONCATENATE("(",ROUND((F157/$H158)*100,1),")")</f>
        <v>(0.4)</v>
      </c>
      <c r="H157" s="302">
        <f t="shared" ref="H157" si="126">SUM(B157,D157,F157)</f>
        <v>4.486999999982336</v>
      </c>
      <c r="I157" s="299" t="str">
        <f>CONCATENATE("(",ROUND((H157/$H158)*100,1),")")</f>
        <v>(21)</v>
      </c>
      <c r="K157" s="302">
        <f t="shared" ref="K157:K158" si="127">B162-B157</f>
        <v>0.29800000008325611</v>
      </c>
      <c r="L157" s="302">
        <f t="shared" ref="L157:L158" si="128">D162-D157</f>
        <v>0.10000000001815623</v>
      </c>
      <c r="M157" s="302">
        <f t="shared" ref="M157:M158" si="129">F162-F157</f>
        <v>3.0000000008964384E-3</v>
      </c>
      <c r="N157" s="302">
        <f t="shared" ref="N157:N158" si="130">SUM(K157:M157)</f>
        <v>0.4010000001023088</v>
      </c>
    </row>
    <row r="158" spans="1:14" x14ac:dyDescent="0.2">
      <c r="A158" s="282" t="s">
        <v>354</v>
      </c>
      <c r="B158" s="302">
        <f>SUM(B156:B157)</f>
        <v>19.205000000067024</v>
      </c>
      <c r="C158" s="299" t="str">
        <f>CONCATENATE("(",ROUND((B158/$H158)*100,1),")")</f>
        <v>(89.7)</v>
      </c>
      <c r="D158" s="302">
        <f>SUM(D156:D157)</f>
        <v>2.1290000000164024</v>
      </c>
      <c r="E158" s="299" t="str">
        <f>CONCATENATE("(",ROUND((D158/$H158)*100,1),")")</f>
        <v>(9.9)</v>
      </c>
      <c r="F158" s="302">
        <f>SUM(F156:F157)</f>
        <v>7.9999999999124188E-2</v>
      </c>
      <c r="G158" s="299" t="str">
        <f>CONCATENATE("(",ROUND((F158/$H158)*100,1),")")</f>
        <v>(0.4)</v>
      </c>
      <c r="H158" s="302">
        <f>SUM(H156:H157)</f>
        <v>21.414000000082552</v>
      </c>
      <c r="I158" s="299" t="str">
        <f>CONCATENATE("(",ROUND((H158/$H158)*100,1),")")</f>
        <v>(100)</v>
      </c>
      <c r="K158" s="302">
        <f t="shared" si="127"/>
        <v>1.1130000001291513</v>
      </c>
      <c r="L158" s="302">
        <f t="shared" si="128"/>
        <v>0.14600000001799351</v>
      </c>
      <c r="M158" s="302">
        <f t="shared" si="129"/>
        <v>3.0000000008964384E-3</v>
      </c>
      <c r="N158" s="302">
        <f t="shared" si="130"/>
        <v>1.2620000001480414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355</v>
      </c>
      <c r="B161" s="302">
        <f>'Ind T6'!Q190</f>
        <v>17.002000000140097</v>
      </c>
      <c r="C161" s="299" t="str">
        <f>CONCATENATE("(",ROUND((B161/$H163)*100,1),")")</f>
        <v>(75)</v>
      </c>
      <c r="D161" s="302">
        <f>'Ind T6'!R190</f>
        <v>0.78600000000585069</v>
      </c>
      <c r="E161" s="299" t="str">
        <f>CONCATENATE("(",ROUND((D161/$H163)*100,1),")")</f>
        <v>(3.5)</v>
      </c>
      <c r="F161" s="302">
        <f>'Ind T6'!S190</f>
        <v>0</v>
      </c>
      <c r="G161" s="299" t="str">
        <f>CONCATENATE("(",ROUND((F161/$H163)*100,1),")")</f>
        <v>(0)</v>
      </c>
      <c r="H161" s="302">
        <f>SUM(B161,D161,F161)</f>
        <v>17.788000000145946</v>
      </c>
      <c r="I161" s="299" t="str">
        <f>CONCATENATE("(",ROUND((H161/$H163)*100,1),")")</f>
        <v>(78.4)</v>
      </c>
      <c r="K161" s="302">
        <f>B166-B161</f>
        <v>1.2330000000618604</v>
      </c>
      <c r="L161" s="302">
        <f>D166-D161</f>
        <v>7.0000000002904517E-2</v>
      </c>
      <c r="M161" s="302">
        <f>F166-F161</f>
        <v>0</v>
      </c>
      <c r="N161" s="302">
        <f>SUM(K161:M161)</f>
        <v>1.303000000064765</v>
      </c>
    </row>
    <row r="162" spans="1:14" x14ac:dyDescent="0.2">
      <c r="A162" s="282" t="s">
        <v>356</v>
      </c>
      <c r="B162" s="302">
        <f>'Ind T6'!Q189</f>
        <v>3.3160000000560785</v>
      </c>
      <c r="C162" s="299" t="str">
        <f>CONCATENATE("(",ROUND((B162/$H163)*100,1),")")</f>
        <v>(14.6)</v>
      </c>
      <c r="D162" s="302">
        <f>'Ind T6'!R189</f>
        <v>1.4890000000285455</v>
      </c>
      <c r="E162" s="299" t="str">
        <f>CONCATENATE("(",ROUND((D162/$H163)*100,1),")")</f>
        <v>(6.6)</v>
      </c>
      <c r="F162" s="302">
        <f>'Ind T6'!S189</f>
        <v>8.3000000000020627E-2</v>
      </c>
      <c r="G162" s="299" t="str">
        <f>CONCATENATE("(",ROUND((F162/$H163)*100,1),")")</f>
        <v>(0.4)</v>
      </c>
      <c r="H162" s="302">
        <f t="shared" ref="H162" si="131">SUM(B162,D162,F162)</f>
        <v>4.8880000000846442</v>
      </c>
      <c r="I162" s="299" t="str">
        <f>CONCATENATE("(",ROUND((H162/$H163)*100,1),")")</f>
        <v>(21.6)</v>
      </c>
      <c r="K162" s="302">
        <f t="shared" ref="K162:K163" si="132">B167-B162</f>
        <v>0.56899999995397765</v>
      </c>
      <c r="L162" s="302">
        <f t="shared" ref="L162:L163" si="133">D167-D162</f>
        <v>0.16399999996114234</v>
      </c>
      <c r="M162" s="302">
        <f t="shared" ref="M162:M163" si="134">F167-F162</f>
        <v>6.000000000429731E-3</v>
      </c>
      <c r="N162" s="302">
        <f t="shared" ref="N162:N163" si="135">SUM(K162:M162)</f>
        <v>0.73899999991554977</v>
      </c>
    </row>
    <row r="163" spans="1:14" x14ac:dyDescent="0.2">
      <c r="A163" s="282" t="s">
        <v>354</v>
      </c>
      <c r="B163" s="302">
        <f>SUM(B161:B162)</f>
        <v>20.318000000196175</v>
      </c>
      <c r="C163" s="299" t="str">
        <f>CONCATENATE("(",ROUND((B163/$H163)*100,1),")")</f>
        <v>(89.6)</v>
      </c>
      <c r="D163" s="302">
        <f>SUM(D161:D162)</f>
        <v>2.275000000034396</v>
      </c>
      <c r="E163" s="299" t="str">
        <f>CONCATENATE("(",ROUND((D163/$H163)*100,1),")")</f>
        <v>(10)</v>
      </c>
      <c r="F163" s="302">
        <f>SUM(F161:F162)</f>
        <v>8.3000000000020627E-2</v>
      </c>
      <c r="G163" s="299" t="str">
        <f>CONCATENATE("(",ROUND((F163/$H163)*100,1),")")</f>
        <v>(0.4)</v>
      </c>
      <c r="H163" s="302">
        <f>SUM(H161:H162)</f>
        <v>22.676000000230591</v>
      </c>
      <c r="I163" s="299" t="str">
        <f>CONCATENATE("(",ROUND((H163/$H163)*100,1),")")</f>
        <v>(100)</v>
      </c>
      <c r="K163" s="302">
        <f t="shared" si="132"/>
        <v>1.8020000000158376</v>
      </c>
      <c r="L163" s="302">
        <f t="shared" si="133"/>
        <v>0.23399999996404697</v>
      </c>
      <c r="M163" s="302">
        <f t="shared" si="134"/>
        <v>6.000000000429731E-3</v>
      </c>
      <c r="N163" s="302">
        <f t="shared" si="135"/>
        <v>2.0419999999803142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355</v>
      </c>
      <c r="B166" s="302">
        <f>'Ind T6'!V190</f>
        <v>18.235000000201957</v>
      </c>
      <c r="C166" s="299" t="str">
        <f>CONCATENATE("(",ROUND((B166/$H168)*100,1),")")</f>
        <v>(73.8)</v>
      </c>
      <c r="D166" s="302">
        <f>'Ind T6'!W190</f>
        <v>0.8560000000087552</v>
      </c>
      <c r="E166" s="299" t="str">
        <f>CONCATENATE("(",ROUND((D166/$H168)*100,1),")")</f>
        <v>(3.5)</v>
      </c>
      <c r="F166" s="302">
        <f>'Ind T6'!X190</f>
        <v>0</v>
      </c>
      <c r="G166" s="299" t="str">
        <f>CONCATENATE("(",ROUND((F166/$H168)*100,1),")")</f>
        <v>(0)</v>
      </c>
      <c r="H166" s="302">
        <f>SUM(B166,D166,F166)</f>
        <v>19.091000000210713</v>
      </c>
      <c r="I166" s="299" t="str">
        <f>CONCATENATE("(",ROUND((H166/$H168)*100,1),")")</f>
        <v>(77.2)</v>
      </c>
      <c r="K166" s="302">
        <f>B166-B156</f>
        <v>2.0480000001077556</v>
      </c>
      <c r="L166" s="302">
        <f>D166-D156</f>
        <v>0.11600000000274213</v>
      </c>
      <c r="M166" s="302">
        <f>F166-F156</f>
        <v>0</v>
      </c>
      <c r="N166" s="302">
        <f>SUM(K166:M166)</f>
        <v>2.164000000110498</v>
      </c>
    </row>
    <row r="167" spans="1:14" x14ac:dyDescent="0.2">
      <c r="A167" s="282" t="s">
        <v>356</v>
      </c>
      <c r="B167" s="302">
        <f>'Ind T6'!V189</f>
        <v>3.8850000000100562</v>
      </c>
      <c r="C167" s="299" t="str">
        <f>CONCATENATE("(",ROUND((B167/$H168)*100,1),")")</f>
        <v>(15.7)</v>
      </c>
      <c r="D167" s="302">
        <f>'Ind T6'!W189</f>
        <v>1.6529999999896878</v>
      </c>
      <c r="E167" s="299" t="str">
        <f>CONCATENATE("(",ROUND((D167/$H168)*100,1),")")</f>
        <v>(6.7)</v>
      </c>
      <c r="F167" s="302">
        <f>'Ind T6'!X189</f>
        <v>8.9000000000450358E-2</v>
      </c>
      <c r="G167" s="299" t="str">
        <f>CONCATENATE("(",ROUND((F167/$H168)*100,1),")")</f>
        <v>(0.4)</v>
      </c>
      <c r="H167" s="302">
        <f t="shared" ref="H167" si="136">SUM(B167,D167,F167)</f>
        <v>5.6270000000001952</v>
      </c>
      <c r="I167" s="299" t="str">
        <f>CONCATENATE("(",ROUND((H167/$H168)*100,1),")")</f>
        <v>(22.8)</v>
      </c>
      <c r="K167" s="302">
        <f t="shared" ref="K167:K168" si="137">B167-B157</f>
        <v>0.86700000003723376</v>
      </c>
      <c r="L167" s="302">
        <f t="shared" ref="L167:L168" si="138">D167-D157</f>
        <v>0.26399999997929857</v>
      </c>
      <c r="M167" s="302">
        <f t="shared" ref="M167:M168" si="139">F167-F157</f>
        <v>9.0000000013261694E-3</v>
      </c>
      <c r="N167" s="302">
        <f t="shared" ref="N167:N168" si="140">SUM(K167:M167)</f>
        <v>1.1400000000178585</v>
      </c>
    </row>
    <row r="168" spans="1:14" x14ac:dyDescent="0.2">
      <c r="A168" s="282" t="s">
        <v>354</v>
      </c>
      <c r="B168" s="302">
        <f>SUM(B166:B167)</f>
        <v>22.120000000212013</v>
      </c>
      <c r="C168" s="299" t="str">
        <f>CONCATENATE("(",ROUND((B168/$H168)*100,1),")")</f>
        <v>(89.5)</v>
      </c>
      <c r="D168" s="302">
        <f>SUM(D166:D167)</f>
        <v>2.5089999999984429</v>
      </c>
      <c r="E168" s="299" t="str">
        <f>CONCATENATE("(",ROUND((D168/$H168)*100,1),")")</f>
        <v>(10.2)</v>
      </c>
      <c r="F168" s="302">
        <f>SUM(F166:F167)</f>
        <v>8.9000000000450358E-2</v>
      </c>
      <c r="G168" s="299" t="str">
        <f>CONCATENATE("(",ROUND((F168/$H168)*100,1),")")</f>
        <v>(0.4)</v>
      </c>
      <c r="H168" s="302">
        <f>SUM(H166:H167)</f>
        <v>24.718000000210907</v>
      </c>
      <c r="I168" s="299" t="str">
        <f>CONCATENATE("(",ROUND((H168/$H168)*100,1),")")</f>
        <v>(100)</v>
      </c>
      <c r="K168" s="302">
        <f t="shared" si="137"/>
        <v>2.9150000001449889</v>
      </c>
      <c r="L168" s="302">
        <f t="shared" si="138"/>
        <v>0.37999999998204048</v>
      </c>
      <c r="M168" s="302">
        <f t="shared" si="139"/>
        <v>9.0000000013261694E-3</v>
      </c>
      <c r="N168" s="302">
        <f t="shared" si="140"/>
        <v>3.3040000001283554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377</v>
      </c>
    </row>
    <row r="175" spans="1:14" x14ac:dyDescent="0.2">
      <c r="A175" s="181" t="s">
        <v>378</v>
      </c>
      <c r="B175" s="369" t="s">
        <v>376</v>
      </c>
      <c r="C175" s="369"/>
      <c r="D175" s="369" t="s">
        <v>375</v>
      </c>
      <c r="E175" s="369"/>
      <c r="F175" s="369" t="s">
        <v>374</v>
      </c>
      <c r="G175" s="369"/>
      <c r="H175" s="369" t="s">
        <v>32</v>
      </c>
      <c r="I175" s="369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2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355</v>
      </c>
      <c r="B177" s="302">
        <f>'Ind T6'!L215</f>
        <v>106.42800000082372</v>
      </c>
      <c r="C177" s="299" t="str">
        <f>CONCATENATE("(",ROUND((B177/$H179)*100,1),")")</f>
        <v>(47.4)</v>
      </c>
      <c r="D177" s="302">
        <f>'Ind T6'!M215</f>
        <v>6.703000000045213</v>
      </c>
      <c r="E177" s="299" t="str">
        <f>CONCATENATE("(",ROUND((D177/$H179)*100,1),")")</f>
        <v>(3)</v>
      </c>
      <c r="F177" s="302">
        <f>'Ind T6'!N215</f>
        <v>76.409999998176801</v>
      </c>
      <c r="G177" s="299" t="str">
        <f>CONCATENATE("(",ROUND((F177/$H179)*100,1),")")</f>
        <v>(34)</v>
      </c>
      <c r="H177" s="302">
        <f>SUM(B177,D177,F177)</f>
        <v>189.54099999904571</v>
      </c>
      <c r="I177" s="299" t="str">
        <f>CONCATENATE("(",ROUND((H177/$H179)*100,1),")")</f>
        <v>(84.4)</v>
      </c>
      <c r="K177" s="302">
        <f>B182-B177</f>
        <v>7.6590000003247809</v>
      </c>
      <c r="L177" s="302">
        <f>D182-D177</f>
        <v>0.70699999999354812</v>
      </c>
      <c r="M177" s="302">
        <f>F182-F177</f>
        <v>7.3779999936673875</v>
      </c>
      <c r="N177" s="302">
        <f>SUM(K177:M177)</f>
        <v>15.743999993985717</v>
      </c>
    </row>
    <row r="178" spans="1:14" x14ac:dyDescent="0.2">
      <c r="A178" s="282" t="s">
        <v>356</v>
      </c>
      <c r="B178" s="302">
        <f>'Ind T6'!L214</f>
        <v>15.830999999777223</v>
      </c>
      <c r="C178" s="299" t="str">
        <f>CONCATENATE("(",ROUND((B178/$H179)*100,1),")")</f>
        <v>(7.1)</v>
      </c>
      <c r="D178" s="302">
        <f>'Ind T6'!M214</f>
        <v>11.795000000136259</v>
      </c>
      <c r="E178" s="299" t="str">
        <f>CONCATENATE("(",ROUND((D178/$H179)*100,1),")")</f>
        <v>(5.3)</v>
      </c>
      <c r="F178" s="302">
        <f>'Ind T6'!N214</f>
        <v>7.3699999999712222</v>
      </c>
      <c r="G178" s="299" t="str">
        <f>CONCATENATE("(",ROUND((F178/$H179)*100,1),")")</f>
        <v>(3.3)</v>
      </c>
      <c r="H178" s="302">
        <f t="shared" ref="H178" si="141">SUM(B178,D178,F178)</f>
        <v>34.995999999884702</v>
      </c>
      <c r="I178" s="299" t="str">
        <f>CONCATENATE("(",ROUND((H178/$H179)*100,1),")")</f>
        <v>(15.6)</v>
      </c>
      <c r="K178" s="302">
        <f t="shared" ref="K178:K179" si="142">B183-B178</f>
        <v>1.4300000003293256</v>
      </c>
      <c r="L178" s="302">
        <f t="shared" ref="L178:L179" si="143">D183-D178</f>
        <v>1.1510000002116456</v>
      </c>
      <c r="M178" s="302">
        <f t="shared" ref="M178:M179" si="144">F183-F178</f>
        <v>0.7030000000965817</v>
      </c>
      <c r="N178" s="302">
        <f t="shared" ref="N178:N179" si="145">SUM(K178:M178)</f>
        <v>3.2840000006375529</v>
      </c>
    </row>
    <row r="179" spans="1:14" x14ac:dyDescent="0.2">
      <c r="A179" s="282" t="s">
        <v>354</v>
      </c>
      <c r="B179" s="302">
        <f>SUM(B177:B178)</f>
        <v>122.25900000060093</v>
      </c>
      <c r="C179" s="299" t="str">
        <f>CONCATENATE("(",ROUND((B179/$H179)*100,1),")")</f>
        <v>(54.4)</v>
      </c>
      <c r="D179" s="302">
        <f>SUM(D177:D178)</f>
        <v>18.49800000018147</v>
      </c>
      <c r="E179" s="299" t="str">
        <f>CONCATENATE("(",ROUND((D179/$H179)*100,1),")")</f>
        <v>(8.2)</v>
      </c>
      <c r="F179" s="302">
        <f>SUM(F177:F178)</f>
        <v>83.779999998148028</v>
      </c>
      <c r="G179" s="299" t="str">
        <f>CONCATENATE("(",ROUND((F179/$H179)*100,1),")")</f>
        <v>(37.3)</v>
      </c>
      <c r="H179" s="302">
        <f>SUM(H177:H178)</f>
        <v>224.53699999893041</v>
      </c>
      <c r="I179" s="299" t="str">
        <f>CONCATENATE("(",ROUND((H179/$H179)*100,1),")")</f>
        <v>(100)</v>
      </c>
      <c r="K179" s="302">
        <f t="shared" si="142"/>
        <v>9.0890000006541243</v>
      </c>
      <c r="L179" s="302">
        <f t="shared" si="143"/>
        <v>1.8580000002051946</v>
      </c>
      <c r="M179" s="302">
        <f t="shared" si="144"/>
        <v>8.0809999937639674</v>
      </c>
      <c r="N179" s="302">
        <f t="shared" si="145"/>
        <v>19.027999994623286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355</v>
      </c>
      <c r="B182" s="302">
        <f>'Ind T6'!Q215</f>
        <v>114.0870000011485</v>
      </c>
      <c r="C182" s="299" t="str">
        <f>CONCATENATE("(",ROUND((B182/$H184)*100,1),")")</f>
        <v>(46.8)</v>
      </c>
      <c r="D182" s="302">
        <f>'Ind T6'!R215</f>
        <v>7.4100000000387611</v>
      </c>
      <c r="E182" s="299" t="str">
        <f>CONCATENATE("(",ROUND((D182/$H184)*100,1),")")</f>
        <v>(3)</v>
      </c>
      <c r="F182" s="302">
        <f>'Ind T6'!S215</f>
        <v>83.787999991844188</v>
      </c>
      <c r="G182" s="299" t="str">
        <f>CONCATENATE("(",ROUND((F182/$H184)*100,1),")")</f>
        <v>(34.4)</v>
      </c>
      <c r="H182" s="302">
        <f>SUM(B182,D182,F182)</f>
        <v>205.28499999303145</v>
      </c>
      <c r="I182" s="299" t="str">
        <f>CONCATENATE("(",ROUND((H182/$H184)*100,1),")")</f>
        <v>(84.3)</v>
      </c>
      <c r="K182" s="302">
        <f>B187-B182</f>
        <v>8.5470000005379205</v>
      </c>
      <c r="L182" s="302">
        <f>D187-D182</f>
        <v>1.1150000000321603</v>
      </c>
      <c r="M182" s="302">
        <f>F187-F182</f>
        <v>11.269000002704644</v>
      </c>
      <c r="N182" s="302">
        <f>SUM(K182:M182)</f>
        <v>20.931000003274725</v>
      </c>
    </row>
    <row r="183" spans="1:14" x14ac:dyDescent="0.2">
      <c r="A183" s="282" t="s">
        <v>356</v>
      </c>
      <c r="B183" s="302">
        <f>'Ind T6'!Q214</f>
        <v>17.261000000106549</v>
      </c>
      <c r="C183" s="299" t="str">
        <f>CONCATENATE("(",ROUND((B183/$H184)*100,1),")")</f>
        <v>(7.1)</v>
      </c>
      <c r="D183" s="302">
        <f>'Ind T6'!R214</f>
        <v>12.946000000347905</v>
      </c>
      <c r="E183" s="299" t="str">
        <f>CONCATENATE("(",ROUND((D183/$H184)*100,1),")")</f>
        <v>(5.3)</v>
      </c>
      <c r="F183" s="302">
        <f>'Ind T6'!S214</f>
        <v>8.0730000000678039</v>
      </c>
      <c r="G183" s="299" t="str">
        <f>CONCATENATE("(",ROUND((F183/$H184)*100,1),")")</f>
        <v>(3.3)</v>
      </c>
      <c r="H183" s="302">
        <f t="shared" ref="H183" si="146">SUM(B183,D183,F183)</f>
        <v>38.280000000522257</v>
      </c>
      <c r="I183" s="299" t="str">
        <f>CONCATENATE("(",ROUND((H183/$H184)*100,1),")")</f>
        <v>(15.7)</v>
      </c>
      <c r="K183" s="302">
        <f t="shared" ref="K183:K184" si="147">B188-B183</f>
        <v>2.1620000000756256</v>
      </c>
      <c r="L183" s="302">
        <f t="shared" ref="L183:L184" si="148">D188-D183</f>
        <v>1.7819999994963638</v>
      </c>
      <c r="M183" s="302">
        <f t="shared" ref="M183:M184" si="149">F188-F183</f>
        <v>1.2669999999988537</v>
      </c>
      <c r="N183" s="302">
        <f t="shared" ref="N183:N184" si="150">SUM(K183:M183)</f>
        <v>5.2109999995708431</v>
      </c>
    </row>
    <row r="184" spans="1:14" x14ac:dyDescent="0.2">
      <c r="A184" s="282" t="s">
        <v>354</v>
      </c>
      <c r="B184" s="302">
        <f>SUM(B182:B183)</f>
        <v>131.34800000125506</v>
      </c>
      <c r="C184" s="299" t="str">
        <f>CONCATENATE("(",ROUND((B184/$H184)*100,1),")")</f>
        <v>(53.9)</v>
      </c>
      <c r="D184" s="302">
        <f>SUM(D182:D183)</f>
        <v>20.356000000386665</v>
      </c>
      <c r="E184" s="299" t="str">
        <f>CONCATENATE("(",ROUND((D184/$H184)*100,1),")")</f>
        <v>(8.4)</v>
      </c>
      <c r="F184" s="302">
        <f>SUM(F182:F183)</f>
        <v>91.860999991911996</v>
      </c>
      <c r="G184" s="299" t="str">
        <f>CONCATENATE("(",ROUND((F184/$H184)*100,1),")")</f>
        <v>(37.7)</v>
      </c>
      <c r="H184" s="302">
        <f>SUM(H182:H183)</f>
        <v>243.5649999935537</v>
      </c>
      <c r="I184" s="299" t="str">
        <f>CONCATENATE("(",ROUND((H184/$H184)*100,1),")")</f>
        <v>(100)</v>
      </c>
      <c r="K184" s="302">
        <f t="shared" si="147"/>
        <v>10.709000000613543</v>
      </c>
      <c r="L184" s="302">
        <f t="shared" si="148"/>
        <v>2.8969999995285249</v>
      </c>
      <c r="M184" s="302">
        <f t="shared" si="149"/>
        <v>12.536000002703489</v>
      </c>
      <c r="N184" s="302">
        <f t="shared" si="150"/>
        <v>26.142000002845556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355</v>
      </c>
      <c r="B187" s="302">
        <f>'Ind T6'!V215</f>
        <v>122.63400000168642</v>
      </c>
      <c r="C187" s="299" t="str">
        <f>CONCATENATE("(",ROUND((B187/$H189)*100,1),")")</f>
        <v>(45.5)</v>
      </c>
      <c r="D187" s="302">
        <f>'Ind T6'!W215</f>
        <v>8.5250000000709214</v>
      </c>
      <c r="E187" s="299" t="str">
        <f>CONCATENATE("(",ROUND((D187/$H189)*100,1),")")</f>
        <v>(3.2)</v>
      </c>
      <c r="F187" s="302">
        <f>'Ind T6'!X215</f>
        <v>95.056999994548832</v>
      </c>
      <c r="G187" s="299" t="str">
        <f>CONCATENATE("(",ROUND((F187/$H189)*100,1),")")</f>
        <v>(35.2)</v>
      </c>
      <c r="H187" s="302">
        <f>SUM(B187,D187,F187)</f>
        <v>226.21599999630615</v>
      </c>
      <c r="I187" s="299" t="str">
        <f>CONCATENATE("(",ROUND((H187/$H189)*100,1),")")</f>
        <v>(83.9)</v>
      </c>
      <c r="K187" s="302">
        <f>B187-B177</f>
        <v>16.206000000862701</v>
      </c>
      <c r="L187" s="302">
        <f>D187-D177</f>
        <v>1.8220000000257084</v>
      </c>
      <c r="M187" s="302">
        <f>F187-F177</f>
        <v>18.646999996372031</v>
      </c>
      <c r="N187" s="302">
        <f>SUM(K187:M187)</f>
        <v>36.674999997260443</v>
      </c>
    </row>
    <row r="188" spans="1:14" x14ac:dyDescent="0.2">
      <c r="A188" s="282" t="s">
        <v>356</v>
      </c>
      <c r="B188" s="302">
        <f>'Ind T6'!V214</f>
        <v>19.423000000182174</v>
      </c>
      <c r="C188" s="299" t="str">
        <f>CONCATENATE("(",ROUND((B188/$H189)*100,1),")")</f>
        <v>(7.2)</v>
      </c>
      <c r="D188" s="302">
        <f>'Ind T6'!W214</f>
        <v>14.727999999844268</v>
      </c>
      <c r="E188" s="299" t="str">
        <f>CONCATENATE("(",ROUND((D188/$H189)*100,1),")")</f>
        <v>(5.5)</v>
      </c>
      <c r="F188" s="302">
        <f>'Ind T6'!X214</f>
        <v>9.3400000000666576</v>
      </c>
      <c r="G188" s="299" t="str">
        <f>CONCATENATE("(",ROUND((F188/$H189)*100,1),")")</f>
        <v>(3.5)</v>
      </c>
      <c r="H188" s="302">
        <f t="shared" ref="H188" si="151">SUM(B188,D188,F188)</f>
        <v>43.491000000093102</v>
      </c>
      <c r="I188" s="299" t="str">
        <f>CONCATENATE("(",ROUND((H188/$H189)*100,1),")")</f>
        <v>(16.1)</v>
      </c>
      <c r="K188" s="302">
        <f t="shared" ref="K188:K189" si="152">B188-B178</f>
        <v>3.5920000004049513</v>
      </c>
      <c r="L188" s="302">
        <f t="shared" ref="L188:L189" si="153">D188-D178</f>
        <v>2.9329999997080094</v>
      </c>
      <c r="M188" s="302">
        <f t="shared" ref="M188:M189" si="154">F188-F178</f>
        <v>1.9700000000954354</v>
      </c>
      <c r="N188" s="302">
        <f t="shared" ref="N188:N189" si="155">SUM(K188:M188)</f>
        <v>8.4950000002083961</v>
      </c>
    </row>
    <row r="189" spans="1:14" x14ac:dyDescent="0.2">
      <c r="A189" s="282" t="s">
        <v>354</v>
      </c>
      <c r="B189" s="302">
        <f>SUM(B187:B188)</f>
        <v>142.0570000018686</v>
      </c>
      <c r="C189" s="299" t="str">
        <f>CONCATENATE("(",ROUND((B189/$H189)*100,1),")")</f>
        <v>(52.7)</v>
      </c>
      <c r="D189" s="302">
        <f>SUM(D187:D188)</f>
        <v>23.25299999991519</v>
      </c>
      <c r="E189" s="299" t="str">
        <f>CONCATENATE("(",ROUND((D189/$H189)*100,1),")")</f>
        <v>(8.6)</v>
      </c>
      <c r="F189" s="302">
        <f>SUM(F187:F188)</f>
        <v>104.39699999461548</v>
      </c>
      <c r="G189" s="299" t="str">
        <f>CONCATENATE("(",ROUND((F189/$H189)*100,1),")")</f>
        <v>(38.7)</v>
      </c>
      <c r="H189" s="302">
        <f>SUM(H187:H188)</f>
        <v>269.70699999639925</v>
      </c>
      <c r="I189" s="299" t="str">
        <f>CONCATENATE("(",ROUND((H189/$H189)*100,1),")")</f>
        <v>(100)</v>
      </c>
      <c r="K189" s="302">
        <f t="shared" si="152"/>
        <v>19.798000001267667</v>
      </c>
      <c r="L189" s="302">
        <f t="shared" si="153"/>
        <v>4.7549999997337196</v>
      </c>
      <c r="M189" s="302">
        <f t="shared" si="154"/>
        <v>20.616999996467456</v>
      </c>
      <c r="N189" s="302">
        <f t="shared" si="155"/>
        <v>45.169999997468842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377</v>
      </c>
    </row>
    <row r="196" spans="1:14" x14ac:dyDescent="0.2">
      <c r="A196" s="181" t="s">
        <v>378</v>
      </c>
      <c r="B196" s="369" t="s">
        <v>376</v>
      </c>
      <c r="C196" s="369"/>
      <c r="D196" s="369" t="s">
        <v>375</v>
      </c>
      <c r="E196" s="369"/>
      <c r="F196" s="369" t="s">
        <v>374</v>
      </c>
      <c r="G196" s="369"/>
      <c r="H196" s="369" t="s">
        <v>32</v>
      </c>
      <c r="I196" s="369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2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355</v>
      </c>
      <c r="B198" s="302">
        <f>'Ind T6'!L240</f>
        <v>156.17900000141208</v>
      </c>
      <c r="C198" s="299" t="str">
        <f>CONCATENATE("(",ROUND((B198/$H200)*100,1),")")</f>
        <v>(35.9)</v>
      </c>
      <c r="D198" s="302">
        <f>'Ind T6'!M240</f>
        <v>50.759000000336719</v>
      </c>
      <c r="E198" s="299" t="str">
        <f>CONCATENATE("(",ROUND((D198/$H200)*100,1),")")</f>
        <v>(11.7)</v>
      </c>
      <c r="F198" s="302">
        <f>'Ind T6'!N240</f>
        <v>24.081000000320181</v>
      </c>
      <c r="G198" s="299" t="str">
        <f>CONCATENATE("(",ROUND((F198/$H200)*100,1),")")</f>
        <v>(5.5)</v>
      </c>
      <c r="H198" s="302">
        <f>SUM(B198,D198,F198)</f>
        <v>231.01900000206899</v>
      </c>
      <c r="I198" s="299" t="str">
        <f>CONCATENATE("(",ROUND((H198/$H200)*100,1),")")</f>
        <v>(53.1)</v>
      </c>
      <c r="K198" s="302">
        <f>B203-B198</f>
        <v>1.8380000001483836</v>
      </c>
      <c r="L198" s="302">
        <f>D203-D198</f>
        <v>0.16600000012156357</v>
      </c>
      <c r="M198" s="302">
        <f>F203-F198</f>
        <v>0.21599999995173746</v>
      </c>
      <c r="N198" s="302">
        <f>SUM(K198:M198)</f>
        <v>2.2200000002216846</v>
      </c>
    </row>
    <row r="199" spans="1:14" x14ac:dyDescent="0.2">
      <c r="A199" s="282" t="s">
        <v>356</v>
      </c>
      <c r="B199" s="302">
        <f>'Ind T6'!L239</f>
        <v>77.427000000132892</v>
      </c>
      <c r="C199" s="299" t="str">
        <f>CONCATENATE("(",ROUND((B199/$H200)*100,1),")")</f>
        <v>(17.8)</v>
      </c>
      <c r="D199" s="302">
        <f>'Ind T6'!M239</f>
        <v>109.11000000562336</v>
      </c>
      <c r="E199" s="299" t="str">
        <f>CONCATENATE("(",ROUND((D199/$H200)*100,1),")")</f>
        <v>(25.1)</v>
      </c>
      <c r="F199" s="302">
        <f>'Ind T6'!N239</f>
        <v>17.292999999689528</v>
      </c>
      <c r="G199" s="299" t="str">
        <f>CONCATENATE("(",ROUND((F199/$H200)*100,1),")")</f>
        <v>(4)</v>
      </c>
      <c r="H199" s="302">
        <f t="shared" ref="H199" si="156">SUM(B199,D199,F199)</f>
        <v>203.83000000544578</v>
      </c>
      <c r="I199" s="299" t="str">
        <f>CONCATENATE("(",ROUND((H199/$H200)*100,1),")")</f>
        <v>(46.9)</v>
      </c>
      <c r="K199" s="302">
        <f t="shared" ref="K199:K200" si="157">B204-B199</f>
        <v>2.7630000040862228</v>
      </c>
      <c r="L199" s="302">
        <f t="shared" ref="L199:L200" si="158">D204-D199</f>
        <v>-3.7239999958596428</v>
      </c>
      <c r="M199" s="302">
        <f t="shared" ref="M199:M200" si="159">F204-F199</f>
        <v>0.60200000032842738</v>
      </c>
      <c r="N199" s="302">
        <f t="shared" ref="N199:N200" si="160">SUM(K199:M199)</f>
        <v>-0.35899999144499262</v>
      </c>
    </row>
    <row r="200" spans="1:14" x14ac:dyDescent="0.2">
      <c r="A200" s="282" t="s">
        <v>354</v>
      </c>
      <c r="B200" s="302">
        <f>SUM(B198:B199)</f>
        <v>233.60600000154497</v>
      </c>
      <c r="C200" s="299" t="str">
        <f>CONCATENATE("(",ROUND((B200/$H200)*100,1),")")</f>
        <v>(53.7)</v>
      </c>
      <c r="D200" s="302">
        <f>SUM(D198:D199)</f>
        <v>159.86900000596009</v>
      </c>
      <c r="E200" s="299" t="str">
        <f>CONCATENATE("(",ROUND((D200/$H200)*100,1),")")</f>
        <v>(36.8)</v>
      </c>
      <c r="F200" s="302">
        <f>SUM(F198:F199)</f>
        <v>41.374000000009708</v>
      </c>
      <c r="G200" s="299" t="str">
        <f>CONCATENATE("(",ROUND((F200/$H200)*100,1),")")</f>
        <v>(9.5)</v>
      </c>
      <c r="H200" s="302">
        <f>SUM(H198:H199)</f>
        <v>434.84900000751475</v>
      </c>
      <c r="I200" s="299" t="str">
        <f>CONCATENATE("(",ROUND((H200/$H200)*100,1),")")</f>
        <v>(100)</v>
      </c>
      <c r="K200" s="302">
        <f t="shared" si="157"/>
        <v>4.6010000042346064</v>
      </c>
      <c r="L200" s="302">
        <f t="shared" si="158"/>
        <v>-3.5579999957380721</v>
      </c>
      <c r="M200" s="302">
        <f t="shared" si="159"/>
        <v>0.81800000028016484</v>
      </c>
      <c r="N200" s="302">
        <f t="shared" si="160"/>
        <v>1.8610000087766991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355</v>
      </c>
      <c r="B203" s="302">
        <f>'Ind T6'!Q240</f>
        <v>158.01700000156046</v>
      </c>
      <c r="C203" s="299" t="str">
        <f>CONCATENATE("(",ROUND((B203/$H205)*100,1),")")</f>
        <v>(36.2)</v>
      </c>
      <c r="D203" s="302">
        <f>'Ind T6'!R240</f>
        <v>50.925000000458283</v>
      </c>
      <c r="E203" s="299" t="str">
        <f>CONCATENATE("(",ROUND((D203/$H205)*100,1),")")</f>
        <v>(11.7)</v>
      </c>
      <c r="F203" s="302">
        <f>'Ind T6'!S240</f>
        <v>24.297000000271918</v>
      </c>
      <c r="G203" s="299" t="str">
        <f>CONCATENATE("(",ROUND((F203/$H205)*100,1),")")</f>
        <v>(5.6)</v>
      </c>
      <c r="H203" s="302">
        <f>SUM(B203,D203,F203)</f>
        <v>233.23900000229065</v>
      </c>
      <c r="I203" s="299" t="str">
        <f>CONCATENATE("(",ROUND((H203/$H205)*100,1),")")</f>
        <v>(53.4)</v>
      </c>
      <c r="K203" s="302">
        <f>B208-B203</f>
        <v>2.8160000003512664</v>
      </c>
      <c r="L203" s="302">
        <f>D208-D203</f>
        <v>0.36600000017424605</v>
      </c>
      <c r="M203" s="302">
        <f>F208-F203</f>
        <v>0.38300000013874325</v>
      </c>
      <c r="N203" s="302">
        <f>SUM(K203:M203)</f>
        <v>3.5650000006642557</v>
      </c>
    </row>
    <row r="204" spans="1:14" x14ac:dyDescent="0.2">
      <c r="A204" s="282" t="s">
        <v>356</v>
      </c>
      <c r="B204" s="302">
        <f>'Ind T6'!Q239</f>
        <v>80.190000004219115</v>
      </c>
      <c r="C204" s="299" t="str">
        <f>CONCATENATE("(",ROUND((B204/$H205)*100,1),")")</f>
        <v>(18.4)</v>
      </c>
      <c r="D204" s="302">
        <f>'Ind T6'!R239</f>
        <v>105.38600000976372</v>
      </c>
      <c r="E204" s="299" t="str">
        <f>CONCATENATE("(",ROUND((D204/$H205)*100,1),")")</f>
        <v>(24.1)</v>
      </c>
      <c r="F204" s="302">
        <f>'Ind T6'!S239</f>
        <v>17.895000000017955</v>
      </c>
      <c r="G204" s="299" t="str">
        <f>CONCATENATE("(",ROUND((F204/$H205)*100,1),")")</f>
        <v>(4.1)</v>
      </c>
      <c r="H204" s="302">
        <f t="shared" ref="H204" si="161">SUM(B204,D204,F204)</f>
        <v>203.47100001400077</v>
      </c>
      <c r="I204" s="299" t="str">
        <f>CONCATENATE("(",ROUND((H204/$H205)*100,1),")")</f>
        <v>(46.6)</v>
      </c>
      <c r="K204" s="302">
        <f t="shared" ref="K204:K205" si="162">B209-B204</f>
        <v>5.3889999945253777</v>
      </c>
      <c r="L204" s="302">
        <f t="shared" ref="L204:L205" si="163">D209-D204</f>
        <v>-7.3970000113727394</v>
      </c>
      <c r="M204" s="302">
        <f t="shared" ref="M204:M205" si="164">F209-F204</f>
        <v>1.2360000010180094</v>
      </c>
      <c r="N204" s="302">
        <f t="shared" ref="N204:N205" si="165">SUM(K204:M204)</f>
        <v>-0.77200001582935229</v>
      </c>
    </row>
    <row r="205" spans="1:14" x14ac:dyDescent="0.2">
      <c r="A205" s="282" t="s">
        <v>354</v>
      </c>
      <c r="B205" s="302">
        <f>SUM(B203:B204)</f>
        <v>238.20700000577958</v>
      </c>
      <c r="C205" s="299" t="str">
        <f>CONCATENATE("(",ROUND((B205/$H205)*100,1),")")</f>
        <v>(54.5)</v>
      </c>
      <c r="D205" s="302">
        <f>SUM(D203:D204)</f>
        <v>156.31100001022202</v>
      </c>
      <c r="E205" s="299" t="str">
        <f>CONCATENATE("(",ROUND((D205/$H205)*100,1),")")</f>
        <v>(35.8)</v>
      </c>
      <c r="F205" s="302">
        <f>SUM(F203:F204)</f>
        <v>42.192000000289873</v>
      </c>
      <c r="G205" s="299" t="str">
        <f>CONCATENATE("(",ROUND((F205/$H205)*100,1),")")</f>
        <v>(9.7)</v>
      </c>
      <c r="H205" s="302">
        <f>SUM(H203:H204)</f>
        <v>436.71000001629142</v>
      </c>
      <c r="I205" s="299" t="str">
        <f>CONCATENATE("(",ROUND((H205/$H205)*100,1),")")</f>
        <v>(100)</v>
      </c>
      <c r="K205" s="302">
        <f t="shared" si="162"/>
        <v>8.2049999948766583</v>
      </c>
      <c r="L205" s="302">
        <f t="shared" si="163"/>
        <v>-7.0310000111985005</v>
      </c>
      <c r="M205" s="302">
        <f t="shared" si="164"/>
        <v>1.6190000011567562</v>
      </c>
      <c r="N205" s="302">
        <f t="shared" si="165"/>
        <v>2.7929999848349141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355</v>
      </c>
      <c r="B208" s="302">
        <f>'Ind T6'!V240</f>
        <v>160.83300000191173</v>
      </c>
      <c r="C208" s="299" t="str">
        <f>CONCATENATE("(",ROUND((B208/$H210)*100,1),")")</f>
        <v>(36.6)</v>
      </c>
      <c r="D208" s="302">
        <f>'Ind T6'!W240</f>
        <v>51.291000000632529</v>
      </c>
      <c r="E208" s="299" t="str">
        <f>CONCATENATE("(",ROUND((D208/$H210)*100,1),")")</f>
        <v>(11.7)</v>
      </c>
      <c r="F208" s="302">
        <f>'Ind T6'!X240</f>
        <v>24.680000000410661</v>
      </c>
      <c r="G208" s="299" t="str">
        <f>CONCATENATE("(",ROUND((F208/$H210)*100,1),")")</f>
        <v>(5.6)</v>
      </c>
      <c r="H208" s="302">
        <f>SUM(B208,D208,F208)</f>
        <v>236.80400000295492</v>
      </c>
      <c r="I208" s="299" t="str">
        <f>CONCATENATE("(",ROUND((H208/$H210)*100,1),")")</f>
        <v>(53.9)</v>
      </c>
      <c r="K208" s="302">
        <f>B208-B198</f>
        <v>4.65400000049965</v>
      </c>
      <c r="L208" s="302">
        <f>D208-D198</f>
        <v>0.53200000029580963</v>
      </c>
      <c r="M208" s="302">
        <f>F208-F198</f>
        <v>0.59900000009048071</v>
      </c>
      <c r="N208" s="302">
        <f>SUM(K208:M208)</f>
        <v>5.7850000008859404</v>
      </c>
    </row>
    <row r="209" spans="1:14" x14ac:dyDescent="0.2">
      <c r="A209" s="282" t="s">
        <v>356</v>
      </c>
      <c r="B209" s="302">
        <f>'Ind T6'!V239</f>
        <v>85.578999998744493</v>
      </c>
      <c r="C209" s="299" t="str">
        <f>CONCATENATE("(",ROUND((B209/$H210)*100,1),")")</f>
        <v>(19.5)</v>
      </c>
      <c r="D209" s="302">
        <f>'Ind T6'!W239</f>
        <v>97.98899999839098</v>
      </c>
      <c r="E209" s="299" t="str">
        <f>CONCATENATE("(",ROUND((D209/$H210)*100,1),")")</f>
        <v>(22.3)</v>
      </c>
      <c r="F209" s="302">
        <f>'Ind T6'!X239</f>
        <v>19.131000001035964</v>
      </c>
      <c r="G209" s="299" t="str">
        <f>CONCATENATE("(",ROUND((F209/$H210)*100,1),")")</f>
        <v>(4.4)</v>
      </c>
      <c r="H209" s="302">
        <f t="shared" ref="H209" si="166">SUM(B209,D209,F209)</f>
        <v>202.69899999817144</v>
      </c>
      <c r="I209" s="299" t="str">
        <f>CONCATENATE("(",ROUND((H209/$H210)*100,1),")")</f>
        <v>(46.1)</v>
      </c>
      <c r="K209" s="302">
        <f t="shared" ref="K209:K210" si="167">B209-B199</f>
        <v>8.1519999986116005</v>
      </c>
      <c r="L209" s="302">
        <f t="shared" ref="L209:L210" si="168">D209-D199</f>
        <v>-11.121000007232382</v>
      </c>
      <c r="M209" s="302">
        <f t="shared" ref="M209:M210" si="169">F209-F199</f>
        <v>1.8380000013464368</v>
      </c>
      <c r="N209" s="302">
        <f t="shared" ref="N209:N210" si="170">SUM(K209:M209)</f>
        <v>-1.1310000072743449</v>
      </c>
    </row>
    <row r="210" spans="1:14" x14ac:dyDescent="0.2">
      <c r="A210" s="282" t="s">
        <v>354</v>
      </c>
      <c r="B210" s="302">
        <f>SUM(B208:B209)</f>
        <v>246.41200000065623</v>
      </c>
      <c r="C210" s="299" t="str">
        <f>CONCATENATE("(",ROUND((B210/$H210)*100,1),")")</f>
        <v>(56.1)</v>
      </c>
      <c r="D210" s="302">
        <f>SUM(D208:D209)</f>
        <v>149.27999999902352</v>
      </c>
      <c r="E210" s="299" t="str">
        <f>CONCATENATE("(",ROUND((D210/$H210)*100,1),")")</f>
        <v>(34)</v>
      </c>
      <c r="F210" s="302">
        <f>SUM(F208:F209)</f>
        <v>43.811000001446629</v>
      </c>
      <c r="G210" s="299" t="str">
        <f>CONCATENATE("(",ROUND((F210/$H210)*100,1),")")</f>
        <v>(10)</v>
      </c>
      <c r="H210" s="302">
        <f>SUM(H208:H209)</f>
        <v>439.50300000112634</v>
      </c>
      <c r="I210" s="299" t="str">
        <f>CONCATENATE("(",ROUND((H210/$H210)*100,1),")")</f>
        <v>(100)</v>
      </c>
      <c r="K210" s="302">
        <f t="shared" si="167"/>
        <v>12.805999999111265</v>
      </c>
      <c r="L210" s="302">
        <f t="shared" si="168"/>
        <v>-10.589000006936573</v>
      </c>
      <c r="M210" s="302">
        <f t="shared" si="169"/>
        <v>2.4370000014369211</v>
      </c>
      <c r="N210" s="302">
        <f t="shared" si="170"/>
        <v>4.6539999936116132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377</v>
      </c>
    </row>
    <row r="217" spans="1:14" x14ac:dyDescent="0.2">
      <c r="A217" s="181" t="s">
        <v>378</v>
      </c>
      <c r="B217" s="369" t="s">
        <v>376</v>
      </c>
      <c r="C217" s="369"/>
      <c r="D217" s="369" t="s">
        <v>375</v>
      </c>
      <c r="E217" s="369"/>
      <c r="F217" s="369" t="s">
        <v>374</v>
      </c>
      <c r="G217" s="369"/>
      <c r="H217" s="369" t="s">
        <v>32</v>
      </c>
      <c r="I217" s="369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2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355</v>
      </c>
      <c r="B219" s="302">
        <f>'Ind T6'!L275</f>
        <v>62.14200000064001</v>
      </c>
      <c r="C219" s="299" t="str">
        <f>CONCATENATE("(",ROUND((B219/$H221)*100,1),")")</f>
        <v>(56.5)</v>
      </c>
      <c r="D219" s="302">
        <f>'Ind T6'!M275</f>
        <v>9.7160000001230689</v>
      </c>
      <c r="E219" s="299" t="str">
        <f>CONCATENATE("(",ROUND((D219/$H221)*100,1),")")</f>
        <v>(8.8)</v>
      </c>
      <c r="F219" s="302">
        <f>'Ind T6'!N275</f>
        <v>12.011000000342337</v>
      </c>
      <c r="G219" s="299" t="str">
        <f>CONCATENATE("(",ROUND((F219/$H221)*100,1),")")</f>
        <v>(10.9)</v>
      </c>
      <c r="H219" s="302">
        <f>SUM(B219,D219,F219)</f>
        <v>83.86900000110542</v>
      </c>
      <c r="I219" s="299" t="str">
        <f>CONCATENATE("(",ROUND((H219/$H221)*100,1),")")</f>
        <v>(76.2)</v>
      </c>
      <c r="K219" s="302">
        <f>B224-B219</f>
        <v>1.1390000000884299</v>
      </c>
      <c r="L219" s="302">
        <f>D224-D219</f>
        <v>0.2529999999925554</v>
      </c>
      <c r="M219" s="302">
        <f>F224-F219</f>
        <v>0.20200000042025579</v>
      </c>
      <c r="N219" s="302">
        <f>SUM(K219:M219)</f>
        <v>1.5940000005012411</v>
      </c>
    </row>
    <row r="220" spans="1:14" x14ac:dyDescent="0.2">
      <c r="A220" s="282" t="s">
        <v>356</v>
      </c>
      <c r="B220" s="302">
        <f>'Ind T6'!L274</f>
        <v>13.328999999948426</v>
      </c>
      <c r="C220" s="299" t="str">
        <f>CONCATENATE("(",ROUND((B220/$H221)*100,1),")")</f>
        <v>(12.1)</v>
      </c>
      <c r="D220" s="302">
        <f>'Ind T6'!M274</f>
        <v>11.38600000028781</v>
      </c>
      <c r="E220" s="299" t="str">
        <f>CONCATENATE("(",ROUND((D220/$H221)*100,1),")")</f>
        <v>(10.3)</v>
      </c>
      <c r="F220" s="302">
        <f>'Ind T6'!N274</f>
        <v>1.4269999999985736</v>
      </c>
      <c r="G220" s="299" t="str">
        <f>CONCATENATE("(",ROUND((F220/$H221)*100,1),")")</f>
        <v>(1.3)</v>
      </c>
      <c r="H220" s="302">
        <f t="shared" ref="H220" si="171">SUM(B220,D220,F220)</f>
        <v>26.142000000234813</v>
      </c>
      <c r="I220" s="299" t="str">
        <f>CONCATENATE("(",ROUND((H220/$H221)*100,1),")")</f>
        <v>(23.8)</v>
      </c>
      <c r="K220" s="302">
        <f t="shared" ref="K220:K221" si="172">B225-B220</f>
        <v>0.84200000056886282</v>
      </c>
      <c r="L220" s="302">
        <f t="shared" ref="L220:L221" si="173">D225-D220</f>
        <v>0.99100000034878555</v>
      </c>
      <c r="M220" s="302">
        <f t="shared" ref="M220:M221" si="174">F225-F220</f>
        <v>-1.6999999972379998E-2</v>
      </c>
      <c r="N220" s="302">
        <f t="shared" ref="N220:N221" si="175">SUM(K220:M220)</f>
        <v>1.8160000009452684</v>
      </c>
    </row>
    <row r="221" spans="1:14" x14ac:dyDescent="0.2">
      <c r="A221" s="282" t="s">
        <v>354</v>
      </c>
      <c r="B221" s="302">
        <f>SUM(B219:B220)</f>
        <v>75.471000000588432</v>
      </c>
      <c r="C221" s="299" t="str">
        <f>CONCATENATE("(",ROUND((B221/$H221)*100,1),")")</f>
        <v>(68.6)</v>
      </c>
      <c r="D221" s="302">
        <f>SUM(D219:D220)</f>
        <v>21.102000000410879</v>
      </c>
      <c r="E221" s="299" t="str">
        <f>CONCATENATE("(",ROUND((D221/$H221)*100,1),")")</f>
        <v>(19.2)</v>
      </c>
      <c r="F221" s="302">
        <f>SUM(F219:F220)</f>
        <v>13.43800000034091</v>
      </c>
      <c r="G221" s="299" t="str">
        <f>CONCATENATE("(",ROUND((F221/$H221)*100,1),")")</f>
        <v>(12.2)</v>
      </c>
      <c r="H221" s="302">
        <f>SUM(H219:H220)</f>
        <v>110.01100000134024</v>
      </c>
      <c r="I221" s="299" t="str">
        <f>CONCATENATE("(",ROUND((H221/$H221)*100,1),")")</f>
        <v>(100)</v>
      </c>
      <c r="K221" s="302">
        <f t="shared" si="172"/>
        <v>1.9810000006572892</v>
      </c>
      <c r="L221" s="302">
        <f t="shared" si="173"/>
        <v>1.244000000341341</v>
      </c>
      <c r="M221" s="302">
        <f t="shared" si="174"/>
        <v>0.1850000004478769</v>
      </c>
      <c r="N221" s="302">
        <f t="shared" si="175"/>
        <v>3.4100000014465071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355</v>
      </c>
      <c r="B224" s="302">
        <f>'Ind T6'!Q275</f>
        <v>63.28100000072844</v>
      </c>
      <c r="C224" s="299" t="str">
        <f>CONCATENATE("(",ROUND((B224/$H226)*100,1),")")</f>
        <v>(55.8)</v>
      </c>
      <c r="D224" s="302">
        <f>'Ind T6'!R275</f>
        <v>9.9690000001156243</v>
      </c>
      <c r="E224" s="299" t="str">
        <f>CONCATENATE("(",ROUND((D224/$H226)*100,1),")")</f>
        <v>(8.8)</v>
      </c>
      <c r="F224" s="302">
        <f>'Ind T6'!S275</f>
        <v>12.213000000762593</v>
      </c>
      <c r="G224" s="299" t="str">
        <f>CONCATENATE("(",ROUND((F224/$H226)*100,1),")")</f>
        <v>(10.8)</v>
      </c>
      <c r="H224" s="302">
        <f>SUM(B224,D224,F224)</f>
        <v>85.463000001606659</v>
      </c>
      <c r="I224" s="299" t="str">
        <f>CONCATENATE("(",ROUND((H224/$H226)*100,1),")")</f>
        <v>(75.4)</v>
      </c>
      <c r="K224" s="302">
        <f>B229-B224</f>
        <v>-1.8929999998545384</v>
      </c>
      <c r="L224" s="302">
        <f>D229-D224</f>
        <v>0.23700000006576971</v>
      </c>
      <c r="M224" s="302">
        <f>F229-F224</f>
        <v>0.33399999995066132</v>
      </c>
      <c r="N224" s="302">
        <f>SUM(K224:M224)</f>
        <v>-1.3219999998381073</v>
      </c>
    </row>
    <row r="225" spans="1:14" x14ac:dyDescent="0.2">
      <c r="A225" s="282" t="s">
        <v>356</v>
      </c>
      <c r="B225" s="302">
        <f>'Ind T6'!Q274</f>
        <v>14.171000000517289</v>
      </c>
      <c r="C225" s="299" t="str">
        <f>CONCATENATE("(",ROUND((B225/$H226)*100,1),")")</f>
        <v>(12.5)</v>
      </c>
      <c r="D225" s="302">
        <f>'Ind T6'!R274</f>
        <v>12.377000000636595</v>
      </c>
      <c r="E225" s="299" t="str">
        <f>CONCATENATE("(",ROUND((D225/$H226)*100,1),")")</f>
        <v>(10.9)</v>
      </c>
      <c r="F225" s="302">
        <f>'Ind T6'!S274</f>
        <v>1.4100000000261936</v>
      </c>
      <c r="G225" s="299" t="str">
        <f>CONCATENATE("(",ROUND((F225/$H226)*100,1),")")</f>
        <v>(1.2)</v>
      </c>
      <c r="H225" s="302">
        <f t="shared" ref="H225" si="176">SUM(B225,D225,F225)</f>
        <v>27.958000001180078</v>
      </c>
      <c r="I225" s="299" t="str">
        <f>CONCATENATE("(",ROUND((H225/$H226)*100,1),")")</f>
        <v>(24.6)</v>
      </c>
      <c r="K225" s="302">
        <f t="shared" ref="K225:K226" si="177">B230-B225</f>
        <v>0.50299999938200912</v>
      </c>
      <c r="L225" s="302">
        <f t="shared" ref="L225:L226" si="178">D230-D225</f>
        <v>0.98099999912676417</v>
      </c>
      <c r="M225" s="302">
        <f t="shared" ref="M225:M226" si="179">F230-F225</f>
        <v>-3.5000000047230362E-2</v>
      </c>
      <c r="N225" s="302">
        <f t="shared" ref="N225:N226" si="180">SUM(K225:M225)</f>
        <v>1.4489999984615429</v>
      </c>
    </row>
    <row r="226" spans="1:14" x14ac:dyDescent="0.2">
      <c r="A226" s="282" t="s">
        <v>354</v>
      </c>
      <c r="B226" s="302">
        <f>SUM(B224:B225)</f>
        <v>77.452000001245722</v>
      </c>
      <c r="C226" s="299" t="str">
        <f>CONCATENATE("(",ROUND((B226/$H226)*100,1),")")</f>
        <v>(68.3)</v>
      </c>
      <c r="D226" s="302">
        <f>SUM(D224:D225)</f>
        <v>22.34600000075222</v>
      </c>
      <c r="E226" s="299" t="str">
        <f>CONCATENATE("(",ROUND((D226/$H226)*100,1),")")</f>
        <v>(19.7)</v>
      </c>
      <c r="F226" s="302">
        <f>SUM(F224:F225)</f>
        <v>13.623000000788787</v>
      </c>
      <c r="G226" s="299" t="str">
        <f>CONCATENATE("(",ROUND((F226/$H226)*100,1),")")</f>
        <v>(12)</v>
      </c>
      <c r="H226" s="302">
        <f>SUM(H224:H225)</f>
        <v>113.42100000278674</v>
      </c>
      <c r="I226" s="299" t="str">
        <f>CONCATENATE("(",ROUND((H226/$H226)*100,1),")")</f>
        <v>(100)</v>
      </c>
      <c r="K226" s="302">
        <f t="shared" si="177"/>
        <v>-1.3900000004725257</v>
      </c>
      <c r="L226" s="302">
        <f t="shared" si="178"/>
        <v>1.2179999991925357</v>
      </c>
      <c r="M226" s="302">
        <f t="shared" si="179"/>
        <v>0.29899999990342963</v>
      </c>
      <c r="N226" s="302">
        <f t="shared" si="180"/>
        <v>0.12699999862343958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355</v>
      </c>
      <c r="B229" s="302">
        <f>'Ind T6'!V275</f>
        <v>61.388000000873902</v>
      </c>
      <c r="C229" s="299" t="str">
        <f>CONCATENATE("(",ROUND((B229/$H231)*100,1),")")</f>
        <v>(54.1)</v>
      </c>
      <c r="D229" s="302">
        <f>'Ind T6'!W275</f>
        <v>10.206000000181394</v>
      </c>
      <c r="E229" s="299" t="str">
        <f>CONCATENATE("(",ROUND((D229/$H231)*100,1),")")</f>
        <v>(9)</v>
      </c>
      <c r="F229" s="302">
        <f>'Ind T6'!X275</f>
        <v>12.547000000713254</v>
      </c>
      <c r="G229" s="299" t="str">
        <f>CONCATENATE("(",ROUND((F229/$H231)*100,1),")")</f>
        <v>(11)</v>
      </c>
      <c r="H229" s="302">
        <f>SUM(B229,D229,F229)</f>
        <v>84.141000001768546</v>
      </c>
      <c r="I229" s="299" t="str">
        <f>CONCATENATE("(",ROUND((H229/$H231)*100,1),")")</f>
        <v>(74.1)</v>
      </c>
      <c r="K229" s="302">
        <f>B229-B219</f>
        <v>-0.75399999976610843</v>
      </c>
      <c r="L229" s="302">
        <f>D229-D219</f>
        <v>0.49000000005832511</v>
      </c>
      <c r="M229" s="302">
        <f>F229-F219</f>
        <v>0.53600000037091711</v>
      </c>
      <c r="N229" s="302">
        <f>SUM(K229:M229)</f>
        <v>0.27200000066313379</v>
      </c>
    </row>
    <row r="230" spans="1:14" x14ac:dyDescent="0.2">
      <c r="A230" s="282" t="s">
        <v>356</v>
      </c>
      <c r="B230" s="302">
        <f>'Ind T6'!V274</f>
        <v>14.673999999899298</v>
      </c>
      <c r="C230" s="299" t="str">
        <f>CONCATENATE("(",ROUND((B230/$H231)*100,1),")")</f>
        <v>(12.9)</v>
      </c>
      <c r="D230" s="302">
        <f>'Ind T6'!W274</f>
        <v>13.35799999976336</v>
      </c>
      <c r="E230" s="299" t="str">
        <f>CONCATENATE("(",ROUND((D230/$H231)*100,1),")")</f>
        <v>(11.8)</v>
      </c>
      <c r="F230" s="302">
        <f>'Ind T6'!X274</f>
        <v>1.3749999999789633</v>
      </c>
      <c r="G230" s="299" t="str">
        <f>CONCATENATE("(",ROUND((F230/$H231)*100,1),")")</f>
        <v>(1.2)</v>
      </c>
      <c r="H230" s="302">
        <f t="shared" ref="H230" si="181">SUM(B230,D230,F230)</f>
        <v>29.406999999641624</v>
      </c>
      <c r="I230" s="299" t="str">
        <f>CONCATENATE("(",ROUND((H230/$H231)*100,1),")")</f>
        <v>(25.9)</v>
      </c>
      <c r="K230" s="302">
        <f t="shared" ref="K230:K231" si="182">B230-B220</f>
        <v>1.3449999999508719</v>
      </c>
      <c r="L230" s="302">
        <f t="shared" ref="L230:L231" si="183">D230-D220</f>
        <v>1.9719999994755497</v>
      </c>
      <c r="M230" s="302">
        <f t="shared" ref="M230:M231" si="184">F230-F220</f>
        <v>-5.200000001961036E-2</v>
      </c>
      <c r="N230" s="302">
        <f t="shared" ref="N230:N231" si="185">SUM(K230:M230)</f>
        <v>3.2649999994068111</v>
      </c>
    </row>
    <row r="231" spans="1:14" x14ac:dyDescent="0.2">
      <c r="A231" s="282" t="s">
        <v>354</v>
      </c>
      <c r="B231" s="302">
        <f>SUM(B229:B230)</f>
        <v>76.062000000773196</v>
      </c>
      <c r="C231" s="299" t="str">
        <f>CONCATENATE("(",ROUND((B231/$H231)*100,1),")")</f>
        <v>(67)</v>
      </c>
      <c r="D231" s="302">
        <f>SUM(D229:D230)</f>
        <v>23.563999999944755</v>
      </c>
      <c r="E231" s="299" t="str">
        <f>CONCATENATE("(",ROUND((D231/$H231)*100,1),")")</f>
        <v>(20.8)</v>
      </c>
      <c r="F231" s="302">
        <f>SUM(F229:F230)</f>
        <v>13.922000000692217</v>
      </c>
      <c r="G231" s="299" t="str">
        <f>CONCATENATE("(",ROUND((F231/$H231)*100,1),")")</f>
        <v>(12.3)</v>
      </c>
      <c r="H231" s="302">
        <f>SUM(H229:H230)</f>
        <v>113.54800000141017</v>
      </c>
      <c r="I231" s="299" t="str">
        <f>CONCATENATE("(",ROUND((H231/$H231)*100,1),")")</f>
        <v>(100)</v>
      </c>
      <c r="K231" s="302">
        <f t="shared" si="182"/>
        <v>0.59100000018476351</v>
      </c>
      <c r="L231" s="302">
        <f t="shared" si="183"/>
        <v>2.4619999995338766</v>
      </c>
      <c r="M231" s="302">
        <f t="shared" si="184"/>
        <v>0.48400000035130653</v>
      </c>
      <c r="N231" s="302">
        <f t="shared" si="185"/>
        <v>3.5370000000699466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377</v>
      </c>
    </row>
    <row r="238" spans="1:14" x14ac:dyDescent="0.2">
      <c r="A238" s="181" t="s">
        <v>378</v>
      </c>
      <c r="B238" s="369" t="s">
        <v>376</v>
      </c>
      <c r="C238" s="369"/>
      <c r="D238" s="369" t="s">
        <v>375</v>
      </c>
      <c r="E238" s="369"/>
      <c r="F238" s="369" t="s">
        <v>374</v>
      </c>
      <c r="G238" s="369"/>
      <c r="H238" s="369" t="s">
        <v>32</v>
      </c>
      <c r="I238" s="369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2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355</v>
      </c>
      <c r="B240" s="302">
        <f>'Ind T6'!L295</f>
        <v>52.721000000031189</v>
      </c>
      <c r="C240" s="299" t="str">
        <f>CONCATENATE("(",ROUND((B240/$H242)*100,1),")")</f>
        <v>(21)</v>
      </c>
      <c r="D240" s="302">
        <f>'Ind T6'!M295</f>
        <v>54.535000000312252</v>
      </c>
      <c r="E240" s="299" t="str">
        <f>CONCATENATE("(",ROUND((D240/$H242)*100,1),")")</f>
        <v>(21.7)</v>
      </c>
      <c r="F240" s="302">
        <f>'Ind T6'!N295</f>
        <v>7.9370000001002392</v>
      </c>
      <c r="G240" s="299" t="str">
        <f>CONCATENATE("(",ROUND((F240/$H242)*100,1),")")</f>
        <v>(3.2)</v>
      </c>
      <c r="H240" s="302">
        <f>SUM(B240,D240,F240)</f>
        <v>115.19300000044369</v>
      </c>
      <c r="I240" s="299" t="str">
        <f>CONCATENATE("(",ROUND((H240/$H242)*100,1),")")</f>
        <v>(45.8)</v>
      </c>
      <c r="K240" s="302">
        <f>B245-B240</f>
        <v>4.2440000000792324</v>
      </c>
      <c r="L240" s="302">
        <f>D245-D240</f>
        <v>3.0980000000700301</v>
      </c>
      <c r="M240" s="302">
        <f>F245-F240</f>
        <v>0.75600000009450596</v>
      </c>
      <c r="N240" s="302">
        <f>SUM(K240:M240)</f>
        <v>8.0980000002437684</v>
      </c>
    </row>
    <row r="241" spans="1:14" x14ac:dyDescent="0.2">
      <c r="A241" s="282" t="s">
        <v>356</v>
      </c>
      <c r="B241" s="302">
        <f>'Ind T6'!L294</f>
        <v>38.71400000008714</v>
      </c>
      <c r="C241" s="299" t="str">
        <f>CONCATENATE("(",ROUND((B241/$H242)*100,1),")")</f>
        <v>(15.4)</v>
      </c>
      <c r="D241" s="302">
        <f>'Ind T6'!M294</f>
        <v>79.142000002995175</v>
      </c>
      <c r="E241" s="299" t="str">
        <f>CONCATENATE("(",ROUND((D241/$H242)*100,1),")")</f>
        <v>(31.5)</v>
      </c>
      <c r="F241" s="302">
        <f>'Ind T6'!N294</f>
        <v>18.277999999758173</v>
      </c>
      <c r="G241" s="299" t="str">
        <f>CONCATENATE("(",ROUND((F241/$H242)*100,1),")")</f>
        <v>(7.3)</v>
      </c>
      <c r="H241" s="302">
        <f t="shared" ref="H241" si="186">SUM(B241,D241,F241)</f>
        <v>136.13400000284048</v>
      </c>
      <c r="I241" s="299" t="str">
        <f>CONCATENATE("(",ROUND((H241/$H242)*100,1),")")</f>
        <v>(54.2)</v>
      </c>
      <c r="K241" s="302">
        <f t="shared" ref="K241:K242" si="187">B246-B241</f>
        <v>3.140000001656361</v>
      </c>
      <c r="L241" s="302">
        <f t="shared" ref="L241:L242" si="188">D246-D241</f>
        <v>5.4830000031544301</v>
      </c>
      <c r="M241" s="302">
        <f t="shared" ref="M241:M242" si="189">F246-F241</f>
        <v>1.8730000005915173</v>
      </c>
      <c r="N241" s="302">
        <f t="shared" ref="N241:N242" si="190">SUM(K241:M241)</f>
        <v>10.496000005402308</v>
      </c>
    </row>
    <row r="242" spans="1:14" x14ac:dyDescent="0.2">
      <c r="A242" s="282" t="s">
        <v>354</v>
      </c>
      <c r="B242" s="302">
        <f>SUM(B240:B241)</f>
        <v>91.435000000118322</v>
      </c>
      <c r="C242" s="299" t="str">
        <f>CONCATENATE("(",ROUND((B242/$H242)*100,1),")")</f>
        <v>(36.4)</v>
      </c>
      <c r="D242" s="302">
        <f>SUM(D240:D241)</f>
        <v>133.67700000330743</v>
      </c>
      <c r="E242" s="299" t="str">
        <f>CONCATENATE("(",ROUND((D242/$H242)*100,1),")")</f>
        <v>(53.2)</v>
      </c>
      <c r="F242" s="302">
        <f>SUM(F240:F241)</f>
        <v>26.214999999858414</v>
      </c>
      <c r="G242" s="299" t="str">
        <f>CONCATENATE("(",ROUND((F242/$H242)*100,1),")")</f>
        <v>(10.4)</v>
      </c>
      <c r="H242" s="302">
        <f>SUM(H240:H241)</f>
        <v>251.32700000328418</v>
      </c>
      <c r="I242" s="299" t="str">
        <f>CONCATENATE("(",ROUND((H242/$H242)*100,1),")")</f>
        <v>(100)</v>
      </c>
      <c r="K242" s="302">
        <f t="shared" si="187"/>
        <v>7.3840000017356004</v>
      </c>
      <c r="L242" s="302">
        <f t="shared" si="188"/>
        <v>8.5810000032244602</v>
      </c>
      <c r="M242" s="302">
        <f t="shared" si="189"/>
        <v>2.6290000006860197</v>
      </c>
      <c r="N242" s="302">
        <f t="shared" si="190"/>
        <v>18.59400000564608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355</v>
      </c>
      <c r="B245" s="302">
        <f>'Ind T6'!Q295</f>
        <v>56.965000000110422</v>
      </c>
      <c r="C245" s="299" t="str">
        <f>CONCATENATE("(",ROUND((B245/$H247)*100,1),")")</f>
        <v>(21.1)</v>
      </c>
      <c r="D245" s="302">
        <f>'Ind T6'!R295</f>
        <v>57.633000000382282</v>
      </c>
      <c r="E245" s="299" t="str">
        <f>CONCATENATE("(",ROUND((D245/$H247)*100,1),")")</f>
        <v>(21.4)</v>
      </c>
      <c r="F245" s="302">
        <f>'Ind T6'!S295</f>
        <v>8.6930000001947452</v>
      </c>
      <c r="G245" s="299" t="str">
        <f>CONCATENATE("(",ROUND((F245/$H247)*100,1),")")</f>
        <v>(3.2)</v>
      </c>
      <c r="H245" s="302">
        <f>SUM(B245,D245,F245)</f>
        <v>123.29100000068745</v>
      </c>
      <c r="I245" s="299" t="str">
        <f>CONCATENATE("(",ROUND((H245/$H247)*100,1),")")</f>
        <v>(45.7)</v>
      </c>
      <c r="K245" s="302">
        <f>B250-B245</f>
        <v>7.8989999997170059</v>
      </c>
      <c r="L245" s="302">
        <f>D250-D245</f>
        <v>7.8049999997762285</v>
      </c>
      <c r="M245" s="302">
        <f>F250-F245</f>
        <v>1.1949999999063419</v>
      </c>
      <c r="N245" s="302">
        <f>SUM(K245:M245)</f>
        <v>16.898999999399578</v>
      </c>
    </row>
    <row r="246" spans="1:14" x14ac:dyDescent="0.2">
      <c r="A246" s="282" t="s">
        <v>356</v>
      </c>
      <c r="B246" s="302">
        <f>'Ind T6'!Q294</f>
        <v>41.854000001743501</v>
      </c>
      <c r="C246" s="299" t="str">
        <f>CONCATENATE("(",ROUND((B246/$H247)*100,1),")")</f>
        <v>(15.5)</v>
      </c>
      <c r="D246" s="302">
        <f>'Ind T6'!R294</f>
        <v>84.625000006149605</v>
      </c>
      <c r="E246" s="299" t="str">
        <f>CONCATENATE("(",ROUND((D246/$H247)*100,1),")")</f>
        <v>(31.4)</v>
      </c>
      <c r="F246" s="302">
        <f>'Ind T6'!S294</f>
        <v>20.15100000034969</v>
      </c>
      <c r="G246" s="299" t="str">
        <f>CONCATENATE("(",ROUND((F246/$H247)*100,1),")")</f>
        <v>(7.5)</v>
      </c>
      <c r="H246" s="302">
        <f t="shared" ref="H246" si="191">SUM(B246,D246,F246)</f>
        <v>146.6300000082428</v>
      </c>
      <c r="I246" s="299" t="str">
        <f>CONCATENATE("(",ROUND((H246/$H247)*100,1),")")</f>
        <v>(54.3)</v>
      </c>
      <c r="K246" s="302">
        <f t="shared" ref="K246:K247" si="192">B251-B246</f>
        <v>5.4129999979107453</v>
      </c>
      <c r="L246" s="302">
        <f t="shared" ref="L246:L247" si="193">D251-D246</f>
        <v>11.445999992471798</v>
      </c>
      <c r="M246" s="302">
        <f t="shared" ref="M246:M247" si="194">F251-F246</f>
        <v>2.721999999436882</v>
      </c>
      <c r="N246" s="302">
        <f t="shared" ref="N246:N247" si="195">SUM(K246:M246)</f>
        <v>19.580999989819425</v>
      </c>
    </row>
    <row r="247" spans="1:14" x14ac:dyDescent="0.2">
      <c r="A247" s="282" t="s">
        <v>354</v>
      </c>
      <c r="B247" s="302">
        <f>SUM(B245:B246)</f>
        <v>98.819000001853922</v>
      </c>
      <c r="C247" s="299" t="str">
        <f>CONCATENATE("(",ROUND((B247/$H247)*100,1),")")</f>
        <v>(36.6)</v>
      </c>
      <c r="D247" s="302">
        <f>SUM(D245:D246)</f>
        <v>142.25800000653189</v>
      </c>
      <c r="E247" s="299" t="str">
        <f>CONCATENATE("(",ROUND((D247/$H247)*100,1),")")</f>
        <v>(52.7)</v>
      </c>
      <c r="F247" s="302">
        <f>SUM(F245:F246)</f>
        <v>28.844000000544433</v>
      </c>
      <c r="G247" s="299" t="str">
        <f>CONCATENATE("(",ROUND((F247/$H247)*100,1),")")</f>
        <v>(10.7)</v>
      </c>
      <c r="H247" s="302">
        <f>SUM(H245:H246)</f>
        <v>269.92100000893026</v>
      </c>
      <c r="I247" s="299" t="str">
        <f>CONCATENATE("(",ROUND((H247/$H247)*100,1),")")</f>
        <v>(100)</v>
      </c>
      <c r="K247" s="302">
        <f t="shared" si="192"/>
        <v>13.311999997627751</v>
      </c>
      <c r="L247" s="302">
        <f t="shared" si="193"/>
        <v>19.25099999224804</v>
      </c>
      <c r="M247" s="302">
        <f t="shared" si="194"/>
        <v>3.9169999993432256</v>
      </c>
      <c r="N247" s="302">
        <f t="shared" si="195"/>
        <v>36.479999989219017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355</v>
      </c>
      <c r="B250" s="302">
        <f>'Ind T6'!V295</f>
        <v>64.863999999827428</v>
      </c>
      <c r="C250" s="299" t="str">
        <f>CONCATENATE("(",ROUND((B250/$H252)*100,1),")")</f>
        <v>(21.2)</v>
      </c>
      <c r="D250" s="302">
        <f>'Ind T6'!W295</f>
        <v>65.43800000015851</v>
      </c>
      <c r="E250" s="299" t="str">
        <f>CONCATENATE("(",ROUND((D250/$H252)*100,1),")")</f>
        <v>(21.4)</v>
      </c>
      <c r="F250" s="302">
        <f>'Ind T6'!X295</f>
        <v>9.888000000101087</v>
      </c>
      <c r="G250" s="299" t="str">
        <f>CONCATENATE("(",ROUND((F250/$H252)*100,1),")")</f>
        <v>(3.2)</v>
      </c>
      <c r="H250" s="302">
        <f>SUM(B250,D250,F250)</f>
        <v>140.19000000008703</v>
      </c>
      <c r="I250" s="299" t="str">
        <f>CONCATENATE("(",ROUND((H250/$H252)*100,1),")")</f>
        <v>(45.8)</v>
      </c>
      <c r="K250" s="302">
        <f>B250-B240</f>
        <v>12.142999999796238</v>
      </c>
      <c r="L250" s="302">
        <f>D250-D240</f>
        <v>10.902999999846259</v>
      </c>
      <c r="M250" s="302">
        <f>F250-F240</f>
        <v>1.9510000000008478</v>
      </c>
      <c r="N250" s="302">
        <f>SUM(K250:M250)</f>
        <v>24.996999999643343</v>
      </c>
    </row>
    <row r="251" spans="1:14" x14ac:dyDescent="0.2">
      <c r="A251" s="282" t="s">
        <v>356</v>
      </c>
      <c r="B251" s="302">
        <f>'Ind T6'!V294</f>
        <v>47.266999999654246</v>
      </c>
      <c r="C251" s="299" t="str">
        <f>CONCATENATE("(",ROUND((B251/$H252)*100,1),")")</f>
        <v>(15.4)</v>
      </c>
      <c r="D251" s="302">
        <f>'Ind T6'!W294</f>
        <v>96.070999998621403</v>
      </c>
      <c r="E251" s="299" t="str">
        <f>CONCATENATE("(",ROUND((D251/$H252)*100,1),")")</f>
        <v>(31.4)</v>
      </c>
      <c r="F251" s="302">
        <f>'Ind T6'!X294</f>
        <v>22.872999999786572</v>
      </c>
      <c r="G251" s="299" t="str">
        <f>CONCATENATE("(",ROUND((F251/$H252)*100,1),")")</f>
        <v>(7.5)</v>
      </c>
      <c r="H251" s="302">
        <f t="shared" ref="H251" si="196">SUM(B251,D251,F251)</f>
        <v>166.21099999806222</v>
      </c>
      <c r="I251" s="299" t="str">
        <f>CONCATENATE("(",ROUND((H251/$H252)*100,1),")")</f>
        <v>(54.2)</v>
      </c>
      <c r="K251" s="302">
        <f t="shared" ref="K251:K252" si="197">B251-B241</f>
        <v>8.5529999995671062</v>
      </c>
      <c r="L251" s="302">
        <f t="shared" ref="L251:L252" si="198">D251-D241</f>
        <v>16.928999995626228</v>
      </c>
      <c r="M251" s="302">
        <f t="shared" ref="M251:M252" si="199">F251-F241</f>
        <v>4.5950000000283993</v>
      </c>
      <c r="N251" s="302">
        <f t="shared" ref="N251:N252" si="200">SUM(K251:M251)</f>
        <v>30.076999995221733</v>
      </c>
    </row>
    <row r="252" spans="1:14" x14ac:dyDescent="0.2">
      <c r="A252" s="282" t="s">
        <v>354</v>
      </c>
      <c r="B252" s="302">
        <f>SUM(B250:B251)</f>
        <v>112.13099999948167</v>
      </c>
      <c r="C252" s="299" t="str">
        <f>CONCATENATE("(",ROUND((B252/$H252)*100,1),")")</f>
        <v>(36.6)</v>
      </c>
      <c r="D252" s="302">
        <f>SUM(D250:D251)</f>
        <v>161.50899999877993</v>
      </c>
      <c r="E252" s="299" t="str">
        <f>CONCATENATE("(",ROUND((D252/$H252)*100,1),")")</f>
        <v>(52.7)</v>
      </c>
      <c r="F252" s="302">
        <f>SUM(F250:F251)</f>
        <v>32.760999999887659</v>
      </c>
      <c r="G252" s="299" t="str">
        <f>CONCATENATE("(",ROUND((F252/$H252)*100,1),")")</f>
        <v>(10.7)</v>
      </c>
      <c r="H252" s="302">
        <f>SUM(H250:H251)</f>
        <v>306.40099999814925</v>
      </c>
      <c r="I252" s="299" t="str">
        <f>CONCATENATE("(",ROUND((H252/$H252)*100,1),")")</f>
        <v>(100)</v>
      </c>
      <c r="K252" s="302">
        <f t="shared" si="197"/>
        <v>20.695999999363352</v>
      </c>
      <c r="L252" s="302">
        <f t="shared" si="198"/>
        <v>27.831999995472501</v>
      </c>
      <c r="M252" s="302">
        <f t="shared" si="199"/>
        <v>6.5460000000292453</v>
      </c>
      <c r="N252" s="302">
        <f t="shared" si="200"/>
        <v>55.073999994865098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1"/>
      <c r="E256" s="181"/>
      <c r="G256" s="181"/>
      <c r="I256" s="181"/>
    </row>
    <row r="257" spans="1:14" x14ac:dyDescent="0.2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377</v>
      </c>
    </row>
    <row r="259" spans="1:14" x14ac:dyDescent="0.2">
      <c r="A259" s="181" t="s">
        <v>378</v>
      </c>
      <c r="B259" s="369" t="s">
        <v>376</v>
      </c>
      <c r="C259" s="369"/>
      <c r="D259" s="369" t="s">
        <v>375</v>
      </c>
      <c r="E259" s="369"/>
      <c r="F259" s="369" t="s">
        <v>374</v>
      </c>
      <c r="G259" s="369"/>
      <c r="H259" s="369" t="s">
        <v>32</v>
      </c>
      <c r="I259" s="369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2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355</v>
      </c>
      <c r="B261" s="302">
        <f>'Ind T6'!L320</f>
        <v>6.8979999999423072</v>
      </c>
      <c r="C261" s="299" t="str">
        <f>CONCATENATE("(",ROUND((B261/$H263)*100,1),")")</f>
        <v>(32.1)</v>
      </c>
      <c r="D261" s="302">
        <f>'Ind T6'!M320</f>
        <v>2.7960000000060754</v>
      </c>
      <c r="E261" s="299" t="str">
        <f>CONCATENATE("(",ROUND((D261/$H263)*100,1),")")</f>
        <v>(13)</v>
      </c>
      <c r="F261" s="302">
        <f>'Ind T6'!N320</f>
        <v>2.1230000000218991</v>
      </c>
      <c r="G261" s="299" t="str">
        <f>CONCATENATE("(",ROUND((F261/$H263)*100,1),")")</f>
        <v>(9.9)</v>
      </c>
      <c r="H261" s="302">
        <f>SUM(B261,D261,F261)</f>
        <v>11.816999999970282</v>
      </c>
      <c r="I261" s="299" t="str">
        <f>CONCATENATE("(",ROUND((H261/$H263)*100,1),")")</f>
        <v>(54.9)</v>
      </c>
      <c r="K261" s="302">
        <f>B266-B261</f>
        <v>-0.28399999997211811</v>
      </c>
      <c r="L261" s="302">
        <f>D266-D261</f>
        <v>2.7999999997126768E-2</v>
      </c>
      <c r="M261" s="302">
        <f>F266-F261</f>
        <v>-6.2999999939588491E-2</v>
      </c>
      <c r="N261" s="302">
        <f>SUM(K261:M261)</f>
        <v>-0.31899999991457983</v>
      </c>
    </row>
    <row r="262" spans="1:14" x14ac:dyDescent="0.2">
      <c r="A262" s="282" t="s">
        <v>356</v>
      </c>
      <c r="B262" s="302">
        <f>'Ind T6'!L319</f>
        <v>4.5719999999531513</v>
      </c>
      <c r="C262" s="299" t="str">
        <f>CONCATENATE("(",ROUND((B262/$H263)*100,1),")")</f>
        <v>(21.3)</v>
      </c>
      <c r="D262" s="302">
        <f>'Ind T6'!M319</f>
        <v>1.9950000000061234</v>
      </c>
      <c r="E262" s="299" t="str">
        <f>CONCATENATE("(",ROUND((D262/$H263)*100,1),")")</f>
        <v>(9.3)</v>
      </c>
      <c r="F262" s="302">
        <f>'Ind T6'!N319</f>
        <v>3.1239999998815464</v>
      </c>
      <c r="G262" s="299" t="str">
        <f>CONCATENATE("(",ROUND((F262/$H263)*100,1),")")</f>
        <v>(14.5)</v>
      </c>
      <c r="H262" s="302">
        <f t="shared" ref="H262" si="201">SUM(B262,D262,F262)</f>
        <v>9.6909999998408214</v>
      </c>
      <c r="I262" s="299" t="str">
        <f>CONCATENATE("(",ROUND((H262/$H263)*100,1),")")</f>
        <v>(45.1)</v>
      </c>
      <c r="K262" s="302">
        <f t="shared" ref="K262:K263" si="202">B267-B262</f>
        <v>-0.16999999995626691</v>
      </c>
      <c r="L262" s="302">
        <f t="shared" ref="L262:L263" si="203">D267-D262</f>
        <v>-4.5999999994608576E-2</v>
      </c>
      <c r="M262" s="302">
        <f t="shared" ref="M262:M263" si="204">F267-F262</f>
        <v>-0.14499999998932278</v>
      </c>
      <c r="N262" s="302">
        <f t="shared" ref="N262:N263" si="205">SUM(K262:M262)</f>
        <v>-0.36099999994019827</v>
      </c>
    </row>
    <row r="263" spans="1:14" x14ac:dyDescent="0.2">
      <c r="A263" s="282" t="s">
        <v>354</v>
      </c>
      <c r="B263" s="302">
        <f>SUM(B261:B262)</f>
        <v>11.469999999895458</v>
      </c>
      <c r="C263" s="299" t="str">
        <f>CONCATENATE("(",ROUND((B263/$H263)*100,1),")")</f>
        <v>(53.3)</v>
      </c>
      <c r="D263" s="302">
        <f>SUM(D261:D262)</f>
        <v>4.7910000000121986</v>
      </c>
      <c r="E263" s="299" t="str">
        <f>CONCATENATE("(",ROUND((D263/$H263)*100,1),")")</f>
        <v>(22.3)</v>
      </c>
      <c r="F263" s="302">
        <f>SUM(F261:F262)</f>
        <v>5.246999999903446</v>
      </c>
      <c r="G263" s="299" t="str">
        <f>CONCATENATE("(",ROUND((F263/$H263)*100,1),")")</f>
        <v>(24.4)</v>
      </c>
      <c r="H263" s="302">
        <f>SUM(H261:H262)</f>
        <v>21.507999999811105</v>
      </c>
      <c r="I263" s="299" t="str">
        <f>CONCATENATE("(",ROUND((H263/$H263)*100,1),")")</f>
        <v>(100)</v>
      </c>
      <c r="K263" s="302">
        <f t="shared" si="202"/>
        <v>-0.45399999992838502</v>
      </c>
      <c r="L263" s="302">
        <f t="shared" si="203"/>
        <v>-1.7999999997481808E-2</v>
      </c>
      <c r="M263" s="302">
        <f t="shared" si="204"/>
        <v>-0.20799999992891216</v>
      </c>
      <c r="N263" s="302">
        <f t="shared" si="205"/>
        <v>-0.67999999985477899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355</v>
      </c>
      <c r="B266" s="302">
        <f>'Ind T6'!Q320</f>
        <v>6.6139999999701891</v>
      </c>
      <c r="C266" s="299" t="str">
        <f>CONCATENATE("(",ROUND((B266/$H268)*100,1),")")</f>
        <v>(31.8)</v>
      </c>
      <c r="D266" s="302">
        <f>'Ind T6'!R320</f>
        <v>2.8240000000032022</v>
      </c>
      <c r="E266" s="299" t="str">
        <f>CONCATENATE("(",ROUND((D266/$H268)*100,1),")")</f>
        <v>(13.6)</v>
      </c>
      <c r="F266" s="302">
        <f>'Ind T6'!S320</f>
        <v>2.0600000000823107</v>
      </c>
      <c r="G266" s="299" t="str">
        <f>CONCATENATE("(",ROUND((F266/$H268)*100,1),")")</f>
        <v>(9.9)</v>
      </c>
      <c r="H266" s="302">
        <f>SUM(B266,D266,F266)</f>
        <v>11.498000000055701</v>
      </c>
      <c r="I266" s="299" t="str">
        <f>CONCATENATE("(",ROUND((H266/$H268)*100,1),")")</f>
        <v>(55.2)</v>
      </c>
      <c r="K266" s="302">
        <f>B271-B266</f>
        <v>-0.24800000002995937</v>
      </c>
      <c r="L266" s="302">
        <f>D271-D266</f>
        <v>0.10499999999633491</v>
      </c>
      <c r="M266" s="302">
        <f>F271-F266</f>
        <v>-3.6000000021324308E-2</v>
      </c>
      <c r="N266" s="302">
        <f>SUM(K266:M266)</f>
        <v>-0.17900000005494876</v>
      </c>
    </row>
    <row r="267" spans="1:14" x14ac:dyDescent="0.2">
      <c r="A267" s="282" t="s">
        <v>356</v>
      </c>
      <c r="B267" s="302">
        <f>'Ind T6'!Q319</f>
        <v>4.4019999999968844</v>
      </c>
      <c r="C267" s="299" t="str">
        <f>CONCATENATE("(",ROUND((B267/$H268)*100,1),")")</f>
        <v>(21.1)</v>
      </c>
      <c r="D267" s="302">
        <f>'Ind T6'!R319</f>
        <v>1.9490000000115149</v>
      </c>
      <c r="E267" s="299" t="str">
        <f>CONCATENATE("(",ROUND((D267/$H268)*100,1),")")</f>
        <v>(9.4)</v>
      </c>
      <c r="F267" s="302">
        <f>'Ind T6'!S319</f>
        <v>2.9789999998922236</v>
      </c>
      <c r="G267" s="299" t="str">
        <f>CONCATENATE("(",ROUND((F267/$H268)*100,1),")")</f>
        <v>(14.3)</v>
      </c>
      <c r="H267" s="302">
        <f t="shared" ref="H267" si="206">SUM(B267,D267,F267)</f>
        <v>9.3299999999006236</v>
      </c>
      <c r="I267" s="299" t="str">
        <f>CONCATENATE("(",ROUND((H267/$H268)*100,1),")")</f>
        <v>(44.8)</v>
      </c>
      <c r="K267" s="302">
        <f t="shared" ref="K267:K268" si="207">B272-B267</f>
        <v>-8.2999999971261396E-2</v>
      </c>
      <c r="L267" s="302">
        <f t="shared" ref="L267:L268" si="208">D272-D267</f>
        <v>-4.7000000018309729E-2</v>
      </c>
      <c r="M267" s="302">
        <f t="shared" ref="M267:M268" si="209">F272-F267</f>
        <v>-0.20499999984593886</v>
      </c>
      <c r="N267" s="302">
        <f t="shared" ref="N267:N268" si="210">SUM(K267:M267)</f>
        <v>-0.33499999983550999</v>
      </c>
    </row>
    <row r="268" spans="1:14" x14ac:dyDescent="0.2">
      <c r="A268" s="282" t="s">
        <v>354</v>
      </c>
      <c r="B268" s="302">
        <f>SUM(B266:B267)</f>
        <v>11.015999999967073</v>
      </c>
      <c r="C268" s="299" t="str">
        <f>CONCATENATE("(",ROUND((B268/$H268)*100,1),")")</f>
        <v>(52.9)</v>
      </c>
      <c r="D268" s="302">
        <f>SUM(D266:D267)</f>
        <v>4.7730000000147168</v>
      </c>
      <c r="E268" s="299" t="str">
        <f>CONCATENATE("(",ROUND((D268/$H268)*100,1),")")</f>
        <v>(22.9)</v>
      </c>
      <c r="F268" s="302">
        <f>SUM(F266:F267)</f>
        <v>5.0389999999745338</v>
      </c>
      <c r="G268" s="299" t="str">
        <f>CONCATENATE("(",ROUND((F268/$H268)*100,1),")")</f>
        <v>(24.2)</v>
      </c>
      <c r="H268" s="302">
        <f>SUM(H266:H267)</f>
        <v>20.827999999956326</v>
      </c>
      <c r="I268" s="299" t="str">
        <f>CONCATENATE("(",ROUND((H268/$H268)*100,1),")")</f>
        <v>(100)</v>
      </c>
      <c r="K268" s="302">
        <f t="shared" si="207"/>
        <v>-0.33100000000121987</v>
      </c>
      <c r="L268" s="302">
        <f t="shared" si="208"/>
        <v>5.7999999978025407E-2</v>
      </c>
      <c r="M268" s="302">
        <f t="shared" si="209"/>
        <v>-0.24099999986726317</v>
      </c>
      <c r="N268" s="302">
        <f t="shared" si="210"/>
        <v>-0.51399999989045764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355</v>
      </c>
      <c r="B271" s="302">
        <f>'Ind T6'!V320</f>
        <v>6.3659999999402297</v>
      </c>
      <c r="C271" s="299" t="str">
        <f>CONCATENATE("(",ROUND((B271/$H273)*100,1),")")</f>
        <v>(31.3)</v>
      </c>
      <c r="D271" s="302">
        <f>'Ind T6'!W320</f>
        <v>2.9289999999995371</v>
      </c>
      <c r="E271" s="299" t="str">
        <f>CONCATENATE("(",ROUND((D271/$H273)*100,1),")")</f>
        <v>(14.4)</v>
      </c>
      <c r="F271" s="302">
        <f>'Ind T6'!X320</f>
        <v>2.0240000000609863</v>
      </c>
      <c r="G271" s="299" t="str">
        <f>CONCATENATE("(",ROUND((F271/$H273)*100,1),")")</f>
        <v>(10)</v>
      </c>
      <c r="H271" s="302">
        <f>SUM(B271,D271,F271)</f>
        <v>11.319000000000754</v>
      </c>
      <c r="I271" s="299" t="str">
        <f>CONCATENATE("(",ROUND((H271/$H273)*100,1),")")</f>
        <v>(55.7)</v>
      </c>
      <c r="K271" s="302">
        <f>B271-B261</f>
        <v>-0.53200000000207748</v>
      </c>
      <c r="L271" s="302">
        <f>D271-D261</f>
        <v>0.13299999999346168</v>
      </c>
      <c r="M271" s="302">
        <f>F271-F261</f>
        <v>-9.8999999960912799E-2</v>
      </c>
      <c r="N271" s="302">
        <f>SUM(K271:M271)</f>
        <v>-0.4979999999695286</v>
      </c>
    </row>
    <row r="272" spans="1:14" x14ac:dyDescent="0.2">
      <c r="A272" s="282" t="s">
        <v>356</v>
      </c>
      <c r="B272" s="302">
        <f>'Ind T6'!V319</f>
        <v>4.319000000025623</v>
      </c>
      <c r="C272" s="299" t="str">
        <f>CONCATENATE("(",ROUND((B272/$H273)*100,1),")")</f>
        <v>(21.3)</v>
      </c>
      <c r="D272" s="302">
        <f>'Ind T6'!W319</f>
        <v>1.9019999999932051</v>
      </c>
      <c r="E272" s="299" t="str">
        <f>CONCATENATE("(",ROUND((D272/$H273)*100,1),")")</f>
        <v>(9.4)</v>
      </c>
      <c r="F272" s="302">
        <f>'Ind T6'!X319</f>
        <v>2.7740000000462848</v>
      </c>
      <c r="G272" s="299" t="str">
        <f>CONCATENATE("(",ROUND((F272/$H273)*100,1),")")</f>
        <v>(13.7)</v>
      </c>
      <c r="H272" s="302">
        <f t="shared" ref="H272" si="211">SUM(B272,D272,F272)</f>
        <v>8.9950000000651116</v>
      </c>
      <c r="I272" s="299" t="str">
        <f>CONCATENATE("(",ROUND((H272/$H273)*100,1),")")</f>
        <v>(44.3)</v>
      </c>
      <c r="K272" s="302">
        <f t="shared" ref="K272:K273" si="212">B272-B262</f>
        <v>-0.25299999992752831</v>
      </c>
      <c r="L272" s="302">
        <f t="shared" ref="L272:L273" si="213">D272-D262</f>
        <v>-9.3000000012918305E-2</v>
      </c>
      <c r="M272" s="302">
        <f t="shared" ref="M272:M273" si="214">F272-F262</f>
        <v>-0.34999999983526164</v>
      </c>
      <c r="N272" s="302">
        <f t="shared" ref="N272:N273" si="215">SUM(K272:M272)</f>
        <v>-0.69599999977570826</v>
      </c>
    </row>
    <row r="273" spans="1:14" x14ac:dyDescent="0.2">
      <c r="A273" s="282" t="s">
        <v>354</v>
      </c>
      <c r="B273" s="302">
        <f>SUM(B271:B272)</f>
        <v>10.684999999965854</v>
      </c>
      <c r="C273" s="299" t="str">
        <f>CONCATENATE("(",ROUND((B273/$H273)*100,1),")")</f>
        <v>(52.6)</v>
      </c>
      <c r="D273" s="302">
        <f>SUM(D271:D272)</f>
        <v>4.8309999999927422</v>
      </c>
      <c r="E273" s="299" t="str">
        <f>CONCATENATE("(",ROUND((D273/$H273)*100,1),")")</f>
        <v>(23.8)</v>
      </c>
      <c r="F273" s="302">
        <f>SUM(F271:F272)</f>
        <v>4.7980000001072707</v>
      </c>
      <c r="G273" s="299" t="str">
        <f>CONCATENATE("(",ROUND((F273/$H273)*100,1),")")</f>
        <v>(23.6)</v>
      </c>
      <c r="H273" s="302">
        <f>SUM(H271:H272)</f>
        <v>20.314000000065867</v>
      </c>
      <c r="I273" s="299" t="str">
        <f>CONCATENATE("(",ROUND((H273/$H273)*100,1),")")</f>
        <v>(100)</v>
      </c>
      <c r="K273" s="302">
        <f t="shared" si="212"/>
        <v>-0.7849999999296049</v>
      </c>
      <c r="L273" s="302">
        <f t="shared" si="213"/>
        <v>3.9999999980543599E-2</v>
      </c>
      <c r="M273" s="302">
        <f t="shared" si="214"/>
        <v>-0.44899999979617533</v>
      </c>
      <c r="N273" s="302">
        <f t="shared" si="215"/>
        <v>-1.1939999997452366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377</v>
      </c>
    </row>
    <row r="280" spans="1:14" x14ac:dyDescent="0.2">
      <c r="A280" s="181" t="s">
        <v>378</v>
      </c>
      <c r="B280" s="369" t="s">
        <v>376</v>
      </c>
      <c r="C280" s="369"/>
      <c r="D280" s="369" t="s">
        <v>375</v>
      </c>
      <c r="E280" s="369"/>
      <c r="F280" s="369" t="s">
        <v>374</v>
      </c>
      <c r="G280" s="369"/>
      <c r="H280" s="369" t="s">
        <v>32</v>
      </c>
      <c r="I280" s="369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2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355</v>
      </c>
      <c r="B282" s="302">
        <f>'Ind T6'!L345</f>
        <v>39.130999999055433</v>
      </c>
      <c r="C282" s="299" t="str">
        <f>CONCATENATE("(",ROUND((B282/$H284)*100,1),")")</f>
        <v>(58.3)</v>
      </c>
      <c r="D282" s="302">
        <f>'Ind T6'!M345</f>
        <v>4.8279999999765604</v>
      </c>
      <c r="E282" s="299" t="str">
        <f>CONCATENATE("(",ROUND((D282/$H284)*100,1),")")</f>
        <v>(7.2)</v>
      </c>
      <c r="F282" s="302">
        <f>'Ind T6'!N345</f>
        <v>5.0679999999706542</v>
      </c>
      <c r="G282" s="299" t="str">
        <f>CONCATENATE("(",ROUND((F282/$H284)*100,1),")")</f>
        <v>(7.6)</v>
      </c>
      <c r="H282" s="302">
        <f>SUM(B282,D282,F282)</f>
        <v>49.026999999002648</v>
      </c>
      <c r="I282" s="299" t="str">
        <f>CONCATENATE("(",ROUND((H282/$H284)*100,1),")")</f>
        <v>(73.1)</v>
      </c>
      <c r="K282" s="302">
        <f>B287-B282</f>
        <v>1.8310000002660871</v>
      </c>
      <c r="L282" s="302">
        <f>D287-D282</f>
        <v>0.30200000000429661</v>
      </c>
      <c r="M282" s="302">
        <f>F287-F282</f>
        <v>0.39900000012613024</v>
      </c>
      <c r="N282" s="302">
        <f>SUM(K282:M282)</f>
        <v>2.532000000396514</v>
      </c>
    </row>
    <row r="283" spans="1:14" x14ac:dyDescent="0.2">
      <c r="A283" s="282" t="s">
        <v>356</v>
      </c>
      <c r="B283" s="302">
        <f>'Ind T6'!L344</f>
        <v>11.727999999869393</v>
      </c>
      <c r="C283" s="299" t="str">
        <f>CONCATENATE("(",ROUND((B283/$H284)*100,1),")")</f>
        <v>(17.5)</v>
      </c>
      <c r="D283" s="302">
        <f>'Ind T6'!M344</f>
        <v>3.55899999995661</v>
      </c>
      <c r="E283" s="299" t="str">
        <f>CONCATENATE("(",ROUND((D283/$H284)*100,1),")")</f>
        <v>(5.3)</v>
      </c>
      <c r="F283" s="302">
        <f>'Ind T6'!N344</f>
        <v>2.7629999999380033</v>
      </c>
      <c r="G283" s="299" t="str">
        <f>CONCATENATE("(",ROUND((F283/$H284)*100,1),")")</f>
        <v>(4.1)</v>
      </c>
      <c r="H283" s="302">
        <f t="shared" ref="H283" si="216">SUM(B283,D283,F283)</f>
        <v>18.049999999764005</v>
      </c>
      <c r="I283" s="299" t="str">
        <f>CONCATENATE("(",ROUND((H283/$H284)*100,1),")")</f>
        <v>(26.9)</v>
      </c>
      <c r="K283" s="302">
        <f t="shared" ref="K283:K284" si="217">B288-B283</f>
        <v>0.92800000029946261</v>
      </c>
      <c r="L283" s="302">
        <f t="shared" ref="L283:L284" si="218">D288-D283</f>
        <v>0.14299999996977331</v>
      </c>
      <c r="M283" s="302">
        <f t="shared" ref="M283:M284" si="219">F288-F283</f>
        <v>0.19700000001167295</v>
      </c>
      <c r="N283" s="302">
        <f t="shared" ref="N283:N284" si="220">SUM(K283:M283)</f>
        <v>1.2680000002809089</v>
      </c>
    </row>
    <row r="284" spans="1:14" x14ac:dyDescent="0.2">
      <c r="A284" s="282" t="s">
        <v>354</v>
      </c>
      <c r="B284" s="302">
        <f>SUM(B282:B283)</f>
        <v>50.85899999892483</v>
      </c>
      <c r="C284" s="299" t="str">
        <f>CONCATENATE("(",ROUND((B284/$H284)*100,1),")")</f>
        <v>(75.8)</v>
      </c>
      <c r="D284" s="302">
        <f>SUM(D282:D283)</f>
        <v>8.3869999999331704</v>
      </c>
      <c r="E284" s="299" t="str">
        <f>CONCATENATE("(",ROUND((D284/$H284)*100,1),")")</f>
        <v>(12.5)</v>
      </c>
      <c r="F284" s="302">
        <f>SUM(F282:F283)</f>
        <v>7.8309999999086575</v>
      </c>
      <c r="G284" s="299" t="str">
        <f>CONCATENATE("(",ROUND((F284/$H284)*100,1),")")</f>
        <v>(11.7)</v>
      </c>
      <c r="H284" s="302">
        <f>SUM(H282:H283)</f>
        <v>67.076999998766652</v>
      </c>
      <c r="I284" s="299" t="str">
        <f>CONCATENATE("(",ROUND((H284/$H284)*100,1),")")</f>
        <v>(100)</v>
      </c>
      <c r="K284" s="302">
        <f t="shared" si="217"/>
        <v>2.7590000005655497</v>
      </c>
      <c r="L284" s="302">
        <f t="shared" si="218"/>
        <v>0.44499999997406903</v>
      </c>
      <c r="M284" s="302">
        <f t="shared" si="219"/>
        <v>0.59600000013780274</v>
      </c>
      <c r="N284" s="302">
        <f t="shared" si="220"/>
        <v>3.8000000006774215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355</v>
      </c>
      <c r="B287" s="302">
        <f>'Ind T6'!Q345</f>
        <v>40.96199999932152</v>
      </c>
      <c r="C287" s="299" t="str">
        <f>CONCATENATE("(",ROUND((B287/$H289)*100,1),")")</f>
        <v>(57.8)</v>
      </c>
      <c r="D287" s="302">
        <f>'Ind T6'!R345</f>
        <v>5.129999999980857</v>
      </c>
      <c r="E287" s="299" t="str">
        <f>CONCATENATE("(",ROUND((D287/$H289)*100,1),")")</f>
        <v>(7.2)</v>
      </c>
      <c r="F287" s="302">
        <f>'Ind T6'!S345</f>
        <v>5.4670000000967844</v>
      </c>
      <c r="G287" s="299" t="str">
        <f>CONCATENATE("(",ROUND((F287/$H289)*100,1),")")</f>
        <v>(7.7)</v>
      </c>
      <c r="H287" s="302">
        <f>SUM(B287,D287,F287)</f>
        <v>51.558999999399155</v>
      </c>
      <c r="I287" s="299" t="str">
        <f>CONCATENATE("(",ROUND((H287/$H289)*100,1),")")</f>
        <v>(72.7)</v>
      </c>
      <c r="K287" s="302">
        <f>B292-B287</f>
        <v>1.7899999996406564</v>
      </c>
      <c r="L287" s="302">
        <f>D292-D287</f>
        <v>0.32599999999550988</v>
      </c>
      <c r="M287" s="302">
        <f>F292-F287</f>
        <v>0.4309999999063967</v>
      </c>
      <c r="N287" s="302">
        <f>SUM(K287:M287)</f>
        <v>2.546999999542563</v>
      </c>
    </row>
    <row r="288" spans="1:14" x14ac:dyDescent="0.2">
      <c r="A288" s="282" t="s">
        <v>356</v>
      </c>
      <c r="B288" s="302">
        <f>'Ind T6'!Q344</f>
        <v>12.656000000168856</v>
      </c>
      <c r="C288" s="299" t="str">
        <f>CONCATENATE("(",ROUND((B288/$H289)*100,1),")")</f>
        <v>(17.9)</v>
      </c>
      <c r="D288" s="302">
        <f>'Ind T6'!R344</f>
        <v>3.7019999999263833</v>
      </c>
      <c r="E288" s="299" t="str">
        <f>CONCATENATE("(",ROUND((D288/$H289)*100,1),")")</f>
        <v>(5.2)</v>
      </c>
      <c r="F288" s="302">
        <f>'Ind T6'!S344</f>
        <v>2.9599999999496762</v>
      </c>
      <c r="G288" s="299" t="str">
        <f>CONCATENATE("(",ROUND((F288/$H289)*100,1),")")</f>
        <v>(4.2)</v>
      </c>
      <c r="H288" s="302">
        <f t="shared" ref="H288" si="221">SUM(B288,D288,F288)</f>
        <v>19.318000000044915</v>
      </c>
      <c r="I288" s="299" t="str">
        <f>CONCATENATE("(",ROUND((H288/$H289)*100,1),")")</f>
        <v>(27.3)</v>
      </c>
      <c r="K288" s="302">
        <f t="shared" ref="K288:K289" si="222">B293-B288</f>
        <v>1.2709999998448449</v>
      </c>
      <c r="L288" s="302">
        <f t="shared" ref="L288:L289" si="223">D293-D288</f>
        <v>6.9000000099962211E-2</v>
      </c>
      <c r="M288" s="302">
        <f t="shared" ref="M288:M289" si="224">F293-F288</f>
        <v>0.17400000006396077</v>
      </c>
      <c r="N288" s="302">
        <f t="shared" ref="N288:N289" si="225">SUM(K288:M288)</f>
        <v>1.5140000000087679</v>
      </c>
    </row>
    <row r="289" spans="1:14" x14ac:dyDescent="0.2">
      <c r="A289" s="282" t="s">
        <v>354</v>
      </c>
      <c r="B289" s="302">
        <f>SUM(B287:B288)</f>
        <v>53.61799999949038</v>
      </c>
      <c r="C289" s="299" t="str">
        <f>CONCATENATE("(",ROUND((B289/$H289)*100,1),")")</f>
        <v>(75.6)</v>
      </c>
      <c r="D289" s="302">
        <f>SUM(D287:D288)</f>
        <v>8.8319999999072394</v>
      </c>
      <c r="E289" s="299" t="str">
        <f>CONCATENATE("(",ROUND((D289/$H289)*100,1),")")</f>
        <v>(12.5)</v>
      </c>
      <c r="F289" s="302">
        <f>SUM(F287:F288)</f>
        <v>8.4270000000464602</v>
      </c>
      <c r="G289" s="299" t="str">
        <f>CONCATENATE("(",ROUND((F289/$H289)*100,1),")")</f>
        <v>(11.9)</v>
      </c>
      <c r="H289" s="302">
        <f>SUM(H287:H288)</f>
        <v>70.876999999444067</v>
      </c>
      <c r="I289" s="299" t="str">
        <f>CONCATENATE("(",ROUND((H289/$H289)*100,1),")")</f>
        <v>(100)</v>
      </c>
      <c r="K289" s="302">
        <f t="shared" si="222"/>
        <v>3.0609999994854959</v>
      </c>
      <c r="L289" s="302">
        <f t="shared" si="223"/>
        <v>0.39500000009547342</v>
      </c>
      <c r="M289" s="302">
        <f t="shared" si="224"/>
        <v>0.60499999997035836</v>
      </c>
      <c r="N289" s="302">
        <f t="shared" si="225"/>
        <v>4.0609999995513277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355</v>
      </c>
      <c r="B292" s="302">
        <f>'Ind T6'!V345</f>
        <v>42.751999998962177</v>
      </c>
      <c r="C292" s="299" t="str">
        <f>CONCATENATE("(",ROUND((B292/$H294)*100,1),")")</f>
        <v>(57)</v>
      </c>
      <c r="D292" s="302">
        <f>'Ind T6'!W345</f>
        <v>5.4559999999763669</v>
      </c>
      <c r="E292" s="299" t="str">
        <f>CONCATENATE("(",ROUND((D292/$H294)*100,1),")")</f>
        <v>(7.3)</v>
      </c>
      <c r="F292" s="302">
        <f>'Ind T6'!X345</f>
        <v>5.8980000000031811</v>
      </c>
      <c r="G292" s="299" t="str">
        <f>CONCATENATE("(",ROUND((F292/$H294)*100,1),")")</f>
        <v>(7.9)</v>
      </c>
      <c r="H292" s="302">
        <f>SUM(B292,D292,F292)</f>
        <v>54.105999998941726</v>
      </c>
      <c r="I292" s="299" t="str">
        <f>CONCATENATE("(",ROUND((H292/$H294)*100,1),")")</f>
        <v>(72.2)</v>
      </c>
      <c r="K292" s="302">
        <f>B292-B282</f>
        <v>3.6209999999067435</v>
      </c>
      <c r="L292" s="302">
        <f>D292-D282</f>
        <v>0.62799999999980649</v>
      </c>
      <c r="M292" s="302">
        <f>F292-F282</f>
        <v>0.83000000003252694</v>
      </c>
      <c r="N292" s="302">
        <f>SUM(K292:M292)</f>
        <v>5.0789999999390769</v>
      </c>
    </row>
    <row r="293" spans="1:14" x14ac:dyDescent="0.2">
      <c r="A293" s="282" t="s">
        <v>356</v>
      </c>
      <c r="B293" s="302">
        <f>'Ind T6'!V344</f>
        <v>13.927000000013701</v>
      </c>
      <c r="C293" s="299" t="str">
        <f>CONCATENATE("(",ROUND((B293/$H294)*100,1),")")</f>
        <v>(18.6)</v>
      </c>
      <c r="D293" s="302">
        <f>'Ind T6'!W344</f>
        <v>3.7710000000263455</v>
      </c>
      <c r="E293" s="299" t="str">
        <f>CONCATENATE("(",ROUND((D293/$H294)*100,1),")")</f>
        <v>(5)</v>
      </c>
      <c r="F293" s="302">
        <f>'Ind T6'!X344</f>
        <v>3.134000000013637</v>
      </c>
      <c r="G293" s="299" t="str">
        <f>CONCATENATE("(",ROUND((F293/$H294)*100,1),")")</f>
        <v>(4.2)</v>
      </c>
      <c r="H293" s="302">
        <f t="shared" ref="H293" si="226">SUM(B293,D293,F293)</f>
        <v>20.832000000053682</v>
      </c>
      <c r="I293" s="299" t="str">
        <f>CONCATENATE("(",ROUND((H293/$H294)*100,1),")")</f>
        <v>(27.8)</v>
      </c>
      <c r="K293" s="302">
        <f t="shared" ref="K293:K294" si="227">B293-B283</f>
        <v>2.1990000001443075</v>
      </c>
      <c r="L293" s="302">
        <f t="shared" ref="L293:L294" si="228">D293-D283</f>
        <v>0.21200000006973552</v>
      </c>
      <c r="M293" s="302">
        <f t="shared" ref="M293:M294" si="229">F293-F283</f>
        <v>0.37100000007563372</v>
      </c>
      <c r="N293" s="302">
        <f t="shared" ref="N293:N294" si="230">SUM(K293:M293)</f>
        <v>2.7820000002896768</v>
      </c>
    </row>
    <row r="294" spans="1:14" x14ac:dyDescent="0.2">
      <c r="A294" s="282" t="s">
        <v>354</v>
      </c>
      <c r="B294" s="302">
        <f>SUM(B292:B293)</f>
        <v>56.678999998975875</v>
      </c>
      <c r="C294" s="299" t="str">
        <f>CONCATENATE("(",ROUND((B294/$H294)*100,1),")")</f>
        <v>(75.6)</v>
      </c>
      <c r="D294" s="302">
        <f>SUM(D292:D293)</f>
        <v>9.2270000000027128</v>
      </c>
      <c r="E294" s="299" t="str">
        <f>CONCATENATE("(",ROUND((D294/$H294)*100,1),")")</f>
        <v>(12.3)</v>
      </c>
      <c r="F294" s="302">
        <f>SUM(F292:F293)</f>
        <v>9.0320000000168186</v>
      </c>
      <c r="G294" s="299" t="str">
        <f>CONCATENATE("(",ROUND((F294/$H294)*100,1),")")</f>
        <v>(12.1)</v>
      </c>
      <c r="H294" s="302">
        <f>SUM(H292:H293)</f>
        <v>74.937999998995409</v>
      </c>
      <c r="I294" s="299" t="str">
        <f>CONCATENATE("(",ROUND((H294/$H294)*100,1),")")</f>
        <v>(100)</v>
      </c>
      <c r="K294" s="302">
        <f t="shared" si="227"/>
        <v>5.8200000000510457</v>
      </c>
      <c r="L294" s="302">
        <f t="shared" si="228"/>
        <v>0.84000000006954245</v>
      </c>
      <c r="M294" s="302">
        <f t="shared" si="229"/>
        <v>1.2010000001081611</v>
      </c>
      <c r="N294" s="302">
        <f t="shared" si="230"/>
        <v>7.8610000002287492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377</v>
      </c>
    </row>
    <row r="301" spans="1:14" x14ac:dyDescent="0.2">
      <c r="A301" s="181" t="s">
        <v>378</v>
      </c>
      <c r="B301" s="369" t="s">
        <v>376</v>
      </c>
      <c r="C301" s="369"/>
      <c r="D301" s="369" t="s">
        <v>375</v>
      </c>
      <c r="E301" s="369"/>
      <c r="F301" s="369" t="s">
        <v>374</v>
      </c>
      <c r="G301" s="369"/>
      <c r="H301" s="369" t="s">
        <v>32</v>
      </c>
      <c r="I301" s="369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2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355</v>
      </c>
      <c r="B303" s="302">
        <f>'Ind T6'!L370</f>
        <v>39.247999999272515</v>
      </c>
      <c r="C303" s="299" t="str">
        <f>CONCATENATE("(",ROUND((B303/$H305)*100,1),")")</f>
        <v>(45.5)</v>
      </c>
      <c r="D303" s="302">
        <f>'Ind T6'!M370</f>
        <v>1.2850000000059194</v>
      </c>
      <c r="E303" s="299" t="str">
        <f>CONCATENATE("(",ROUND((D303/$H305)*100,1),")")</f>
        <v>(1.5)</v>
      </c>
      <c r="F303" s="302">
        <f>'Ind T6'!N370</f>
        <v>2.0570000000074868</v>
      </c>
      <c r="G303" s="299" t="str">
        <f>CONCATENATE("(",ROUND((F303/$H305)*100,1),")")</f>
        <v>(2.4)</v>
      </c>
      <c r="H303" s="302">
        <f>SUM(B303,D303,F303)</f>
        <v>42.589999999285922</v>
      </c>
      <c r="I303" s="299" t="str">
        <f>CONCATENATE("(",ROUND((H303/$H305)*100,1),")")</f>
        <v>(49.4)</v>
      </c>
      <c r="K303" s="302">
        <f>B308-B303</f>
        <v>3.3000000264898688E-2</v>
      </c>
      <c r="L303" s="302">
        <f>D308-D303</f>
        <v>5.4000000002894621E-2</v>
      </c>
      <c r="M303" s="302">
        <f>F308-F303</f>
        <v>0.10600000006412724</v>
      </c>
      <c r="N303" s="302">
        <f>SUM(K303:M303)</f>
        <v>0.19300000033192055</v>
      </c>
    </row>
    <row r="304" spans="1:14" x14ac:dyDescent="0.2">
      <c r="A304" s="282" t="s">
        <v>356</v>
      </c>
      <c r="B304" s="302">
        <f>'Ind T6'!L369</f>
        <v>31.249999999556444</v>
      </c>
      <c r="C304" s="299" t="str">
        <f>CONCATENATE("(",ROUND((B304/$H305)*100,1),")")</f>
        <v>(36.2)</v>
      </c>
      <c r="D304" s="302">
        <f>'Ind T6'!M369</f>
        <v>11.717000000083988</v>
      </c>
      <c r="E304" s="299" t="str">
        <f>CONCATENATE("(",ROUND((D304/$H305)*100,1),")")</f>
        <v>(13.6)</v>
      </c>
      <c r="F304" s="302">
        <f>'Ind T6'!N369</f>
        <v>0.70999999999045915</v>
      </c>
      <c r="G304" s="299" t="str">
        <f>CONCATENATE("(",ROUND((F304/$H305)*100,1),")")</f>
        <v>(0.8)</v>
      </c>
      <c r="H304" s="302">
        <f t="shared" ref="H304" si="231">SUM(B304,D304,F304)</f>
        <v>43.676999999630894</v>
      </c>
      <c r="I304" s="299" t="str">
        <f>CONCATENATE("(",ROUND((H304/$H305)*100,1),")")</f>
        <v>(50.6)</v>
      </c>
      <c r="K304" s="302">
        <f t="shared" ref="K304:K305" si="232">B309-B304</f>
        <v>-0.10499999930583215</v>
      </c>
      <c r="L304" s="302">
        <f t="shared" ref="L304:L305" si="233">D309-D304</f>
        <v>-0.16499999992422332</v>
      </c>
      <c r="M304" s="302">
        <f t="shared" ref="M304:M305" si="234">F309-F304</f>
        <v>3.0000000007724181E-2</v>
      </c>
      <c r="N304" s="302">
        <f t="shared" ref="N304:N305" si="235">SUM(K304:M304)</f>
        <v>-0.23999999922233128</v>
      </c>
    </row>
    <row r="305" spans="1:14" x14ac:dyDescent="0.2">
      <c r="A305" s="282" t="s">
        <v>354</v>
      </c>
      <c r="B305" s="302">
        <f>SUM(B303:B304)</f>
        <v>70.497999998828959</v>
      </c>
      <c r="C305" s="299" t="str">
        <f>CONCATENATE("(",ROUND((B305/$H305)*100,1),")")</f>
        <v>(81.7)</v>
      </c>
      <c r="D305" s="302">
        <f>SUM(D303:D304)</f>
        <v>13.002000000089907</v>
      </c>
      <c r="E305" s="299" t="str">
        <f>CONCATENATE("(",ROUND((D305/$H305)*100,1),")")</f>
        <v>(15.1)</v>
      </c>
      <c r="F305" s="302">
        <f>SUM(F303:F304)</f>
        <v>2.766999999997946</v>
      </c>
      <c r="G305" s="299" t="str">
        <f>CONCATENATE("(",ROUND((F305/$H305)*100,1),")")</f>
        <v>(3.2)</v>
      </c>
      <c r="H305" s="302">
        <f>SUM(H303:H304)</f>
        <v>86.266999998916816</v>
      </c>
      <c r="I305" s="299" t="str">
        <f>CONCATENATE("(",ROUND((H305/$H305)*100,1),")")</f>
        <v>(100)</v>
      </c>
      <c r="K305" s="302">
        <f t="shared" si="232"/>
        <v>-7.1999999040940565E-2</v>
      </c>
      <c r="L305" s="302">
        <f t="shared" si="233"/>
        <v>-0.11099999992132759</v>
      </c>
      <c r="M305" s="302">
        <f t="shared" si="234"/>
        <v>0.13600000007185153</v>
      </c>
      <c r="N305" s="302">
        <f t="shared" si="235"/>
        <v>-4.6999998890416617E-2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355</v>
      </c>
      <c r="B308" s="302">
        <f>'Ind T6'!Q370</f>
        <v>39.280999999537414</v>
      </c>
      <c r="C308" s="299" t="str">
        <f>CONCATENATE("(",ROUND((B308/$H310)*100,1),")")</f>
        <v>(45.6)</v>
      </c>
      <c r="D308" s="302">
        <f>'Ind T6'!R370</f>
        <v>1.339000000008814</v>
      </c>
      <c r="E308" s="299" t="str">
        <f>CONCATENATE("(",ROUND((D308/$H310)*100,1),")")</f>
        <v>(1.6)</v>
      </c>
      <c r="F308" s="302">
        <f>'Ind T6'!S370</f>
        <v>2.1630000000716141</v>
      </c>
      <c r="G308" s="299" t="str">
        <f>CONCATENATE("(",ROUND((F308/$H310)*100,1),")")</f>
        <v>(2.5)</v>
      </c>
      <c r="H308" s="302">
        <f>SUM(B308,D308,F308)</f>
        <v>42.782999999617843</v>
      </c>
      <c r="I308" s="299" t="str">
        <f>CONCATENATE("(",ROUND((H308/$H310)*100,1),")")</f>
        <v>(49.6)</v>
      </c>
      <c r="K308" s="302">
        <f>B313-B308</f>
        <v>-1.5120000003326552</v>
      </c>
      <c r="L308" s="302">
        <f>D313-D308</f>
        <v>3.8000000011177315E-2</v>
      </c>
      <c r="M308" s="302">
        <f>F313-F308</f>
        <v>-2.822675426727983E-11</v>
      </c>
      <c r="N308" s="302">
        <f>SUM(K308:M308)</f>
        <v>-1.4740000003497047</v>
      </c>
    </row>
    <row r="309" spans="1:14" x14ac:dyDescent="0.2">
      <c r="A309" s="282" t="s">
        <v>356</v>
      </c>
      <c r="B309" s="302">
        <f>'Ind T6'!Q369</f>
        <v>31.145000000250612</v>
      </c>
      <c r="C309" s="299" t="str">
        <f>CONCATENATE("(",ROUND((B309/$H310)*100,1),")")</f>
        <v>(36.1)</v>
      </c>
      <c r="D309" s="302">
        <f>'Ind T6'!R369</f>
        <v>11.552000000159765</v>
      </c>
      <c r="E309" s="299" t="str">
        <f>CONCATENATE("(",ROUND((D309/$H310)*100,1),")")</f>
        <v>(13.4)</v>
      </c>
      <c r="F309" s="302">
        <f>'Ind T6'!S369</f>
        <v>0.73999999999818333</v>
      </c>
      <c r="G309" s="299" t="str">
        <f>CONCATENATE("(",ROUND((F309/$H310)*100,1),")")</f>
        <v>(0.9)</v>
      </c>
      <c r="H309" s="302">
        <f t="shared" ref="H309" si="236">SUM(B309,D309,F309)</f>
        <v>43.43700000040856</v>
      </c>
      <c r="I309" s="299" t="str">
        <f>CONCATENATE("(",ROUND((H309/$H310)*100,1),")")</f>
        <v>(50.4)</v>
      </c>
      <c r="K309" s="302">
        <f t="shared" ref="K309:K310" si="237">B314-B309</f>
        <v>-1.2959999999524996</v>
      </c>
      <c r="L309" s="302">
        <f t="shared" ref="L309:L310" si="238">D314-D309</f>
        <v>-0.58300000016042297</v>
      </c>
      <c r="M309" s="302">
        <f t="shared" ref="M309:M310" si="239">F314-F309</f>
        <v>-1.6999999997095228E-2</v>
      </c>
      <c r="N309" s="302">
        <f t="shared" ref="N309:N310" si="240">SUM(K309:M309)</f>
        <v>-1.8960000001100177</v>
      </c>
    </row>
    <row r="310" spans="1:14" x14ac:dyDescent="0.2">
      <c r="A310" s="282" t="s">
        <v>354</v>
      </c>
      <c r="B310" s="302">
        <f>SUM(B308:B309)</f>
        <v>70.425999999788019</v>
      </c>
      <c r="C310" s="299" t="str">
        <f>CONCATENATE("(",ROUND((B310/$H310)*100,1),")")</f>
        <v>(81.7)</v>
      </c>
      <c r="D310" s="302">
        <f>SUM(D308:D309)</f>
        <v>12.89100000016858</v>
      </c>
      <c r="E310" s="299" t="str">
        <f>CONCATENATE("(",ROUND((D310/$H310)*100,1),")")</f>
        <v>(15)</v>
      </c>
      <c r="F310" s="302">
        <f>SUM(F308:F309)</f>
        <v>2.9030000000697975</v>
      </c>
      <c r="G310" s="299" t="str">
        <f>CONCATENATE("(",ROUND((F310/$H310)*100,1),")")</f>
        <v>(3.4)</v>
      </c>
      <c r="H310" s="302">
        <f>SUM(H308:H309)</f>
        <v>86.220000000026403</v>
      </c>
      <c r="I310" s="299" t="str">
        <f>CONCATENATE("(",ROUND((H310/$H310)*100,1),")")</f>
        <v>(100)</v>
      </c>
      <c r="K310" s="302">
        <f t="shared" si="237"/>
        <v>-2.8080000002851477</v>
      </c>
      <c r="L310" s="302">
        <f t="shared" si="238"/>
        <v>-0.54500000014924588</v>
      </c>
      <c r="M310" s="302">
        <f t="shared" si="239"/>
        <v>-1.7000000025321871E-2</v>
      </c>
      <c r="N310" s="302">
        <f t="shared" si="240"/>
        <v>-3.3700000004597155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355</v>
      </c>
      <c r="B313" s="302">
        <f>'Ind T6'!V370</f>
        <v>37.768999999204759</v>
      </c>
      <c r="C313" s="299" t="str">
        <f>CONCATENATE("(",ROUND((B313/$H315)*100,1),")")</f>
        <v>(45.6)</v>
      </c>
      <c r="D313" s="302">
        <f>'Ind T6'!W370</f>
        <v>1.3770000000199913</v>
      </c>
      <c r="E313" s="299" t="str">
        <f>CONCATENATE("(",ROUND((D313/$H315)*100,1),")")</f>
        <v>(1.7)</v>
      </c>
      <c r="F313" s="302">
        <f>'Ind T6'!X370</f>
        <v>2.1630000000433873</v>
      </c>
      <c r="G313" s="299" t="str">
        <f>CONCATENATE("(",ROUND((F313/$H315)*100,1),")")</f>
        <v>(2.6)</v>
      </c>
      <c r="H313" s="302">
        <f>SUM(B313,D313,F313)</f>
        <v>41.308999999268138</v>
      </c>
      <c r="I313" s="299" t="str">
        <f>CONCATENATE("(",ROUND((H313/$H315)*100,1),")")</f>
        <v>(49.9)</v>
      </c>
      <c r="K313" s="302">
        <f>B313-B303</f>
        <v>-1.4790000000677566</v>
      </c>
      <c r="L313" s="302">
        <f>D313-D303</f>
        <v>9.2000000014071937E-2</v>
      </c>
      <c r="M313" s="302">
        <f>F313-F303</f>
        <v>0.10600000003590049</v>
      </c>
      <c r="N313" s="302">
        <f>SUM(K313:M313)</f>
        <v>-1.2810000000177841</v>
      </c>
    </row>
    <row r="314" spans="1:14" x14ac:dyDescent="0.2">
      <c r="A314" s="282" t="s">
        <v>356</v>
      </c>
      <c r="B314" s="302">
        <f>'Ind T6'!V369</f>
        <v>29.849000000298112</v>
      </c>
      <c r="C314" s="299" t="str">
        <f>CONCATENATE("(",ROUND((B314/$H315)*100,1),")")</f>
        <v>(36)</v>
      </c>
      <c r="D314" s="302">
        <f>'Ind T6'!W369</f>
        <v>10.968999999999342</v>
      </c>
      <c r="E314" s="299" t="str">
        <f>CONCATENATE("(",ROUND((D314/$H315)*100,1),")")</f>
        <v>(13.2)</v>
      </c>
      <c r="F314" s="302">
        <f>'Ind T6'!X369</f>
        <v>0.72300000000108811</v>
      </c>
      <c r="G314" s="299" t="str">
        <f>CONCATENATE("(",ROUND((F314/$H315)*100,1),")")</f>
        <v>(0.9)</v>
      </c>
      <c r="H314" s="302">
        <f t="shared" ref="H314" si="241">SUM(B314,D314,F314)</f>
        <v>41.541000000298538</v>
      </c>
      <c r="I314" s="299" t="str">
        <f>CONCATENATE("(",ROUND((H314/$H315)*100,1),")")</f>
        <v>(50.1)</v>
      </c>
      <c r="K314" s="302">
        <f t="shared" ref="K314:K315" si="242">B314-B304</f>
        <v>-1.4009999992583317</v>
      </c>
      <c r="L314" s="302">
        <f t="shared" ref="L314:L315" si="243">D314-D304</f>
        <v>-0.74800000008464629</v>
      </c>
      <c r="M314" s="302">
        <f t="shared" ref="M314:M315" si="244">F314-F304</f>
        <v>1.3000000010628954E-2</v>
      </c>
      <c r="N314" s="302">
        <f t="shared" ref="N314:N315" si="245">SUM(K314:M314)</f>
        <v>-2.1359999993323493</v>
      </c>
    </row>
    <row r="315" spans="1:14" x14ac:dyDescent="0.2">
      <c r="A315" s="282" t="s">
        <v>354</v>
      </c>
      <c r="B315" s="302">
        <f>SUM(B313:B314)</f>
        <v>67.617999999502871</v>
      </c>
      <c r="C315" s="299" t="str">
        <f>CONCATENATE("(",ROUND((B315/$H315)*100,1),")")</f>
        <v>(81.6)</v>
      </c>
      <c r="D315" s="302">
        <f>SUM(D313:D314)</f>
        <v>12.346000000019334</v>
      </c>
      <c r="E315" s="299" t="str">
        <f>CONCATENATE("(",ROUND((D315/$H315)*100,1),")")</f>
        <v>(14.9)</v>
      </c>
      <c r="F315" s="302">
        <f>SUM(F313:F314)</f>
        <v>2.8860000000444757</v>
      </c>
      <c r="G315" s="299" t="str">
        <f>CONCATENATE("(",ROUND((F315/$H315)*100,1),")")</f>
        <v>(3.5)</v>
      </c>
      <c r="H315" s="302">
        <f>SUM(H313:H314)</f>
        <v>82.849999999566677</v>
      </c>
      <c r="I315" s="299" t="str">
        <f>CONCATENATE("(",ROUND((H315/$H315)*100,1),")")</f>
        <v>(100)</v>
      </c>
      <c r="K315" s="302">
        <f t="shared" si="242"/>
        <v>-2.8799999993260883</v>
      </c>
      <c r="L315" s="302">
        <f t="shared" si="243"/>
        <v>-0.65600000007057346</v>
      </c>
      <c r="M315" s="302">
        <f t="shared" si="244"/>
        <v>0.11900000004652966</v>
      </c>
      <c r="N315" s="302">
        <f t="shared" si="245"/>
        <v>-3.4169999993501321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377</v>
      </c>
    </row>
    <row r="322" spans="1:14" x14ac:dyDescent="0.2">
      <c r="A322" s="181" t="s">
        <v>378</v>
      </c>
      <c r="B322" s="369" t="s">
        <v>376</v>
      </c>
      <c r="C322" s="369"/>
      <c r="D322" s="369" t="s">
        <v>375</v>
      </c>
      <c r="E322" s="369"/>
      <c r="F322" s="369" t="s">
        <v>374</v>
      </c>
      <c r="G322" s="369"/>
      <c r="H322" s="369" t="s">
        <v>32</v>
      </c>
      <c r="I322" s="369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2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355</v>
      </c>
      <c r="B324" s="302">
        <f>'Ind T6'!L380</f>
        <v>18.243999999812093</v>
      </c>
      <c r="C324" s="299" t="str">
        <f>CONCATENATE("(",ROUND((B324/$H326)*100,1),")")</f>
        <v>(31.7)</v>
      </c>
      <c r="D324" s="302">
        <f>'Ind T6'!M380</f>
        <v>1.7619999999858071</v>
      </c>
      <c r="E324" s="299" t="str">
        <f>CONCATENATE("(",ROUND((D324/$H326)*100,1),")")</f>
        <v>(3.1)</v>
      </c>
      <c r="F324" s="302">
        <f>'Ind T6'!N380</f>
        <v>5.4320000000215654</v>
      </c>
      <c r="G324" s="299" t="str">
        <f>CONCATENATE("(",ROUND((F324/$H326)*100,1),")")</f>
        <v>(9.4)</v>
      </c>
      <c r="H324" s="302">
        <f>SUM(B324,D324,F324)</f>
        <v>25.437999999819468</v>
      </c>
      <c r="I324" s="299" t="str">
        <f>CONCATENATE("(",ROUND((H324/$H326)*100,1),")")</f>
        <v>(44.1)</v>
      </c>
      <c r="K324" s="302">
        <f>B329-B324</f>
        <v>-2.0889999998827804</v>
      </c>
      <c r="L324" s="302">
        <f>D329-D324</f>
        <v>-0.19799999999451856</v>
      </c>
      <c r="M324" s="302">
        <f>F329-F324</f>
        <v>-0.37000000003253497</v>
      </c>
      <c r="N324" s="302">
        <f>SUM(K324:M324)</f>
        <v>-2.6569999999098339</v>
      </c>
    </row>
    <row r="325" spans="1:14" x14ac:dyDescent="0.2">
      <c r="A325" s="282" t="s">
        <v>356</v>
      </c>
      <c r="B325" s="302">
        <f>'Ind T6'!L379</f>
        <v>22.638999999856836</v>
      </c>
      <c r="C325" s="299" t="str">
        <f>CONCATENATE("(",ROUND((B325/$H326)*100,1),")")</f>
        <v>(39.3)</v>
      </c>
      <c r="D325" s="302">
        <f>'Ind T6'!M379</f>
        <v>6.934000000067905</v>
      </c>
      <c r="E325" s="299" t="str">
        <f>CONCATENATE("(",ROUND((D325/$H326)*100,1),")")</f>
        <v>(12)</v>
      </c>
      <c r="F325" s="302">
        <f>'Ind T6'!N379</f>
        <v>2.6129999999511351</v>
      </c>
      <c r="G325" s="299" t="str">
        <f>CONCATENATE("(",ROUND((F325/$H326)*100,1),")")</f>
        <v>(4.5)</v>
      </c>
      <c r="H325" s="302">
        <f t="shared" ref="H325" si="246">SUM(B325,D325,F325)</f>
        <v>32.185999999875875</v>
      </c>
      <c r="I325" s="299" t="str">
        <f>CONCATENATE("(",ROUND((H325/$H326)*100,1),")")</f>
        <v>(55.9)</v>
      </c>
      <c r="K325" s="302">
        <f t="shared" ref="K325:K326" si="247">B330-B325</f>
        <v>-1.8629999994980473</v>
      </c>
      <c r="L325" s="302">
        <f t="shared" ref="L325:L326" si="248">D330-D325</f>
        <v>-1.056999999932156</v>
      </c>
      <c r="M325" s="302">
        <f t="shared" ref="M325:M326" si="249">F330-F325</f>
        <v>-0.26499999996377888</v>
      </c>
      <c r="N325" s="302">
        <f t="shared" ref="N325:N326" si="250">SUM(K325:M325)</f>
        <v>-3.1849999993939822</v>
      </c>
    </row>
    <row r="326" spans="1:14" x14ac:dyDescent="0.2">
      <c r="A326" s="282" t="s">
        <v>354</v>
      </c>
      <c r="B326" s="302">
        <f>SUM(B324:B325)</f>
        <v>40.882999999668925</v>
      </c>
      <c r="C326" s="299" t="str">
        <f>CONCATENATE("(",ROUND((B326/$H326)*100,1),")")</f>
        <v>(70.9)</v>
      </c>
      <c r="D326" s="302">
        <f>SUM(D324:D325)</f>
        <v>8.6960000000537114</v>
      </c>
      <c r="E326" s="299" t="str">
        <f>CONCATENATE("(",ROUND((D326/$H326)*100,1),")")</f>
        <v>(15.1)</v>
      </c>
      <c r="F326" s="302">
        <f>SUM(F324:F325)</f>
        <v>8.0449999999727009</v>
      </c>
      <c r="G326" s="299" t="str">
        <f>CONCATENATE("(",ROUND((F326/$H326)*100,1),")")</f>
        <v>(14)</v>
      </c>
      <c r="H326" s="302">
        <f>SUM(H324:H325)</f>
        <v>57.623999999695343</v>
      </c>
      <c r="I326" s="299" t="str">
        <f>CONCATENATE("(",ROUND((H326/$H326)*100,1),")")</f>
        <v>(100)</v>
      </c>
      <c r="K326" s="302">
        <f t="shared" si="247"/>
        <v>-3.9519999993808241</v>
      </c>
      <c r="L326" s="302">
        <f t="shared" si="248"/>
        <v>-1.2549999999266737</v>
      </c>
      <c r="M326" s="302">
        <f t="shared" si="249"/>
        <v>-0.63499999999631385</v>
      </c>
      <c r="N326" s="302">
        <f t="shared" si="250"/>
        <v>-5.8419999993038116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355</v>
      </c>
      <c r="B329" s="302">
        <f>'Ind T6'!Q380</f>
        <v>16.154999999929313</v>
      </c>
      <c r="C329" s="299" t="str">
        <f>CONCATENATE("(",ROUND((B329/$H331)*100,1),")")</f>
        <v>(31.2)</v>
      </c>
      <c r="D329" s="302">
        <f>'Ind T6'!R380</f>
        <v>1.5639999999912886</v>
      </c>
      <c r="E329" s="299" t="str">
        <f>CONCATENATE("(",ROUND((D329/$H331)*100,1),")")</f>
        <v>(3)</v>
      </c>
      <c r="F329" s="302">
        <f>'Ind T6'!S380</f>
        <v>5.0619999999890304</v>
      </c>
      <c r="G329" s="299" t="str">
        <f>CONCATENATE("(",ROUND((F329/$H331)*100,1),")")</f>
        <v>(9.8)</v>
      </c>
      <c r="H329" s="302">
        <f>SUM(B329,D329,F329)</f>
        <v>22.780999999909632</v>
      </c>
      <c r="I329" s="299" t="str">
        <f>CONCATENATE("(",ROUND((H329/$H331)*100,1),")")</f>
        <v>(44)</v>
      </c>
      <c r="K329" s="302">
        <f>B334-B329</f>
        <v>-0.34200000004902442</v>
      </c>
      <c r="L329" s="302">
        <f>D334-D329</f>
        <v>-5.0000000069538864E-3</v>
      </c>
      <c r="M329" s="302">
        <f>F334-F329</f>
        <v>0.32200000001837115</v>
      </c>
      <c r="N329" s="302">
        <f>SUM(K329:M329)</f>
        <v>-2.5000000037607162E-2</v>
      </c>
    </row>
    <row r="330" spans="1:14" x14ac:dyDescent="0.2">
      <c r="A330" s="282" t="s">
        <v>356</v>
      </c>
      <c r="B330" s="302">
        <f>'Ind T6'!Q379</f>
        <v>20.776000000358788</v>
      </c>
      <c r="C330" s="299" t="str">
        <f>CONCATENATE("(",ROUND((B330/$H331)*100,1),")")</f>
        <v>(40.1)</v>
      </c>
      <c r="D330" s="302">
        <f>'Ind T6'!R379</f>
        <v>5.877000000135749</v>
      </c>
      <c r="E330" s="299" t="str">
        <f>CONCATENATE("(",ROUND((D330/$H331)*100,1),")")</f>
        <v>(11.3)</v>
      </c>
      <c r="F330" s="302">
        <f>'Ind T6'!S379</f>
        <v>2.3479999999873562</v>
      </c>
      <c r="G330" s="299" t="str">
        <f>CONCATENATE("(",ROUND((F330/$H331)*100,1),")")</f>
        <v>(4.5)</v>
      </c>
      <c r="H330" s="302">
        <f t="shared" ref="H330" si="251">SUM(B330,D330,F330)</f>
        <v>29.001000000481891</v>
      </c>
      <c r="I330" s="299" t="str">
        <f>CONCATENATE("(",ROUND((H330/$H331)*100,1),")")</f>
        <v>(56)</v>
      </c>
      <c r="K330" s="302">
        <f t="shared" ref="K330:K331" si="252">B335-B330</f>
        <v>1.0069999996072845</v>
      </c>
      <c r="L330" s="302">
        <f t="shared" ref="L330:L331" si="253">D335-D330</f>
        <v>-0.60900000016959233</v>
      </c>
      <c r="M330" s="302">
        <f t="shared" ref="M330:M331" si="254">F335-F330</f>
        <v>-3.1999999990599548E-2</v>
      </c>
      <c r="N330" s="302">
        <f t="shared" ref="N330:N331" si="255">SUM(K330:M330)</f>
        <v>0.36599999944709261</v>
      </c>
    </row>
    <row r="331" spans="1:14" x14ac:dyDescent="0.2">
      <c r="A331" s="282" t="s">
        <v>354</v>
      </c>
      <c r="B331" s="302">
        <f>SUM(B329:B330)</f>
        <v>36.931000000288101</v>
      </c>
      <c r="C331" s="299" t="str">
        <f>CONCATENATE("(",ROUND((B331/$H331)*100,1),")")</f>
        <v>(71.3)</v>
      </c>
      <c r="D331" s="302">
        <f>SUM(D329:D330)</f>
        <v>7.4410000001270378</v>
      </c>
      <c r="E331" s="299" t="str">
        <f>CONCATENATE("(",ROUND((D331/$H331)*100,1),")")</f>
        <v>(14.4)</v>
      </c>
      <c r="F331" s="302">
        <f>SUM(F329:F330)</f>
        <v>7.409999999976387</v>
      </c>
      <c r="G331" s="299" t="str">
        <f>CONCATENATE("(",ROUND((F331/$H331)*100,1),")")</f>
        <v>(14.3)</v>
      </c>
      <c r="H331" s="302">
        <f>SUM(H329:H330)</f>
        <v>51.78200000039152</v>
      </c>
      <c r="I331" s="299" t="str">
        <f>CONCATENATE("(",ROUND((H331/$H331)*100,1),")")</f>
        <v>(100)</v>
      </c>
      <c r="K331" s="302">
        <f t="shared" si="252"/>
        <v>0.66499999955826183</v>
      </c>
      <c r="L331" s="302">
        <f t="shared" si="253"/>
        <v>-0.61400000017654666</v>
      </c>
      <c r="M331" s="302">
        <f t="shared" si="254"/>
        <v>0.29000000002777071</v>
      </c>
      <c r="N331" s="302">
        <f t="shared" si="255"/>
        <v>0.34099999940948589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355</v>
      </c>
      <c r="B334" s="302">
        <f>'Ind T6'!V380</f>
        <v>15.812999999880288</v>
      </c>
      <c r="C334" s="299" t="str">
        <f>CONCATENATE("(",ROUND((B334/$H336)*100,1),")")</f>
        <v>(30.3)</v>
      </c>
      <c r="D334" s="302">
        <f>'Ind T6'!W380</f>
        <v>1.5589999999843347</v>
      </c>
      <c r="E334" s="299" t="str">
        <f>CONCATENATE("(",ROUND((D334/$H336)*100,1),")")</f>
        <v>(3)</v>
      </c>
      <c r="F334" s="302">
        <f>'Ind T6'!X380</f>
        <v>5.3840000000074015</v>
      </c>
      <c r="G334" s="299" t="str">
        <f>CONCATENATE("(",ROUND((F334/$H336)*100,1),")")</f>
        <v>(10.3)</v>
      </c>
      <c r="H334" s="302">
        <f>SUM(B334,D334,F334)</f>
        <v>22.755999999872024</v>
      </c>
      <c r="I334" s="299" t="str">
        <f>CONCATENATE("(",ROUND((H334/$H336)*100,1),")")</f>
        <v>(43.7)</v>
      </c>
      <c r="K334" s="302">
        <f>B334-B324</f>
        <v>-2.4309999999318048</v>
      </c>
      <c r="L334" s="302">
        <f>D334-D324</f>
        <v>-0.20300000000147245</v>
      </c>
      <c r="M334" s="302">
        <f>F334-F324</f>
        <v>-4.8000000014163824E-2</v>
      </c>
      <c r="N334" s="302">
        <f>SUM(K334:M334)</f>
        <v>-2.6819999999474411</v>
      </c>
    </row>
    <row r="335" spans="1:14" x14ac:dyDescent="0.2">
      <c r="A335" s="282" t="s">
        <v>356</v>
      </c>
      <c r="B335" s="302">
        <f>'Ind T6'!V379</f>
        <v>21.782999999966073</v>
      </c>
      <c r="C335" s="299" t="str">
        <f>CONCATENATE("(",ROUND((B335/$H336)*100,1),")")</f>
        <v>(41.8)</v>
      </c>
      <c r="D335" s="302">
        <f>'Ind T6'!W379</f>
        <v>5.2679999999661566</v>
      </c>
      <c r="E335" s="299" t="str">
        <f>CONCATENATE("(",ROUND((D335/$H336)*100,1),")")</f>
        <v>(10.1)</v>
      </c>
      <c r="F335" s="302">
        <f>'Ind T6'!X379</f>
        <v>2.3159999999967567</v>
      </c>
      <c r="G335" s="299" t="str">
        <f>CONCATENATE("(",ROUND((F335/$H336)*100,1),")")</f>
        <v>(4.4)</v>
      </c>
      <c r="H335" s="302">
        <f>SUM(B335,D335,F335)</f>
        <v>29.366999999928986</v>
      </c>
      <c r="I335" s="299" t="str">
        <f>CONCATENATE("(",ROUND((H335/$H336)*100,1),")")</f>
        <v>(56.3)</v>
      </c>
      <c r="K335" s="302">
        <f t="shared" ref="K335:K336" si="256">B335-B325</f>
        <v>-0.85599999989076281</v>
      </c>
      <c r="L335" s="302">
        <f t="shared" ref="L335:L336" si="257">D335-D325</f>
        <v>-1.6660000001017483</v>
      </c>
      <c r="M335" s="302">
        <f t="shared" ref="M335:M336" si="258">F335-F325</f>
        <v>-0.29699999995437842</v>
      </c>
      <c r="N335" s="302">
        <f t="shared" ref="N335:N336" si="259">SUM(K335:M335)</f>
        <v>-2.8189999999468895</v>
      </c>
    </row>
    <row r="336" spans="1:14" x14ac:dyDescent="0.2">
      <c r="A336" s="282" t="s">
        <v>354</v>
      </c>
      <c r="B336" s="302">
        <f>SUM(B334:B335)</f>
        <v>37.595999999846363</v>
      </c>
      <c r="C336" s="299" t="str">
        <f>CONCATENATE("(",ROUND((B336/$H336)*100,1),")")</f>
        <v>(72.1)</v>
      </c>
      <c r="D336" s="302">
        <f>SUM(D334:D335)</f>
        <v>6.8269999999504911</v>
      </c>
      <c r="E336" s="299" t="str">
        <f>CONCATENATE("(",ROUND((D336/$H336)*100,1),")")</f>
        <v>(13.1)</v>
      </c>
      <c r="F336" s="302">
        <f>SUM(F334:F335)</f>
        <v>7.7000000000041577</v>
      </c>
      <c r="G336" s="299" t="str">
        <f>CONCATENATE("(",ROUND((F336/$H336)*100,1),")")</f>
        <v>(14.8)</v>
      </c>
      <c r="H336" s="302">
        <f>SUM(H334:H335)</f>
        <v>52.12299999980101</v>
      </c>
      <c r="I336" s="299" t="str">
        <f>CONCATENATE("(",ROUND((H336/$H336)*100,1),")")</f>
        <v>(100)</v>
      </c>
      <c r="K336" s="302">
        <f t="shared" si="256"/>
        <v>-3.2869999998225623</v>
      </c>
      <c r="L336" s="302">
        <f t="shared" si="257"/>
        <v>-1.8690000001032203</v>
      </c>
      <c r="M336" s="302">
        <f t="shared" si="258"/>
        <v>-0.34499999996854314</v>
      </c>
      <c r="N336" s="302">
        <f t="shared" si="259"/>
        <v>-5.5009999998943258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377</v>
      </c>
    </row>
    <row r="343" spans="1:14" x14ac:dyDescent="0.2">
      <c r="A343" s="181" t="s">
        <v>378</v>
      </c>
      <c r="B343" s="369" t="s">
        <v>376</v>
      </c>
      <c r="C343" s="369"/>
      <c r="D343" s="369" t="s">
        <v>375</v>
      </c>
      <c r="E343" s="369"/>
      <c r="F343" s="369" t="s">
        <v>374</v>
      </c>
      <c r="G343" s="369"/>
      <c r="H343" s="369" t="s">
        <v>32</v>
      </c>
      <c r="I343" s="369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2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355</v>
      </c>
      <c r="B345" s="302">
        <f>'Ind T6'!L425</f>
        <v>90.220999997537717</v>
      </c>
      <c r="C345" s="299" t="str">
        <f>CONCATENATE("(",ROUND((B345/$H347)*100,1),")")</f>
        <v>(35.1)</v>
      </c>
      <c r="D345" s="302">
        <f>'Ind T6'!M425</f>
        <v>14.066999999930001</v>
      </c>
      <c r="E345" s="299" t="str">
        <f>CONCATENATE("(",ROUND((D345/$H347)*100,1),")")</f>
        <v>(5.5)</v>
      </c>
      <c r="F345" s="302">
        <f>'Ind T6'!N425</f>
        <v>23.981999999960539</v>
      </c>
      <c r="G345" s="299" t="str">
        <f>CONCATENATE("(",ROUND((F345/$H347)*100,1),")")</f>
        <v>(9.3)</v>
      </c>
      <c r="H345" s="302">
        <f>SUM(B345,D345,F345)</f>
        <v>128.26999999742827</v>
      </c>
      <c r="I345" s="299" t="str">
        <f>CONCATENATE("(",ROUND((H345/$H347)*100,1),")")</f>
        <v>(50)</v>
      </c>
      <c r="K345" s="302">
        <f>B350-B345</f>
        <v>2.8550000007988672</v>
      </c>
      <c r="L345" s="302">
        <f>D350-D345</f>
        <v>1.1230000000131035</v>
      </c>
      <c r="M345" s="302">
        <f>F350-F345</f>
        <v>1.3520000010148685</v>
      </c>
      <c r="N345" s="302">
        <f>SUM(K345:M345)</f>
        <v>5.3300000018268392</v>
      </c>
    </row>
    <row r="346" spans="1:14" x14ac:dyDescent="0.2">
      <c r="A346" s="282" t="s">
        <v>356</v>
      </c>
      <c r="B346" s="302">
        <f>'Ind T6'!L424</f>
        <v>62.496999998730168</v>
      </c>
      <c r="C346" s="299" t="str">
        <f>CONCATENATE("(",ROUND((B346/$H347)*100,1),")")</f>
        <v>(24.3)</v>
      </c>
      <c r="D346" s="302">
        <f>'Ind T6'!M424</f>
        <v>38.232999999756871</v>
      </c>
      <c r="E346" s="299" t="str">
        <f>CONCATENATE("(",ROUND((D346/$H347)*100,1),")")</f>
        <v>(14.9)</v>
      </c>
      <c r="F346" s="302">
        <f>'Ind T6'!N424</f>
        <v>27.707999999544846</v>
      </c>
      <c r="G346" s="299" t="str">
        <f>CONCATENATE("(",ROUND((F346/$H347)*100,1),")")</f>
        <v>(10.8)</v>
      </c>
      <c r="H346" s="302">
        <f t="shared" ref="H346" si="260">SUM(B346,D346,F346)</f>
        <v>128.4379999980319</v>
      </c>
      <c r="I346" s="299" t="str">
        <f>CONCATENATE("(",ROUND((H346/$H347)*100,1),")")</f>
        <v>(50)</v>
      </c>
      <c r="K346" s="302">
        <f t="shared" ref="K346:K347" si="261">B351-B346</f>
        <v>3.83900000079948</v>
      </c>
      <c r="L346" s="302">
        <f t="shared" ref="L346:L347" si="262">D351-D346</f>
        <v>2.7959999997288492</v>
      </c>
      <c r="M346" s="302">
        <f t="shared" ref="M346:M347" si="263">F351-F346</f>
        <v>2.4819999996574218</v>
      </c>
      <c r="N346" s="302">
        <f t="shared" ref="N346:N347" si="264">SUM(K346:M346)</f>
        <v>9.117000000185751</v>
      </c>
    </row>
    <row r="347" spans="1:14" x14ac:dyDescent="0.2">
      <c r="A347" s="282" t="s">
        <v>354</v>
      </c>
      <c r="B347" s="302">
        <f>SUM(B345:B346)</f>
        <v>152.71799999626788</v>
      </c>
      <c r="C347" s="299" t="str">
        <f>CONCATENATE("(",ROUND((B347/$H347)*100,1),")")</f>
        <v>(59.5)</v>
      </c>
      <c r="D347" s="302">
        <f>SUM(D345:D346)</f>
        <v>52.299999999686875</v>
      </c>
      <c r="E347" s="299" t="str">
        <f>CONCATENATE("(",ROUND((D347/$H347)*100,1),")")</f>
        <v>(20.4)</v>
      </c>
      <c r="F347" s="302">
        <f>SUM(F345:F346)</f>
        <v>51.689999999505389</v>
      </c>
      <c r="G347" s="299" t="str">
        <f>CONCATENATE("(",ROUND((F347/$H347)*100,1),")")</f>
        <v>(20.1)</v>
      </c>
      <c r="H347" s="302">
        <f>SUM(H345:H346)</f>
        <v>256.70799999546017</v>
      </c>
      <c r="I347" s="299" t="str">
        <f>CONCATENATE("(",ROUND((H347/$H347)*100,1),")")</f>
        <v>(100)</v>
      </c>
      <c r="K347" s="302">
        <f t="shared" si="261"/>
        <v>6.6940000015983685</v>
      </c>
      <c r="L347" s="302">
        <f t="shared" si="262"/>
        <v>3.9189999997419491</v>
      </c>
      <c r="M347" s="302">
        <f t="shared" si="263"/>
        <v>3.8340000006722903</v>
      </c>
      <c r="N347" s="302">
        <f t="shared" si="264"/>
        <v>14.447000002012608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355</v>
      </c>
      <c r="B350" s="302">
        <f>'Ind T6'!Q425</f>
        <v>93.075999998336584</v>
      </c>
      <c r="C350" s="299" t="str">
        <f>CONCATENATE("(",ROUND((B350/$H352)*100,1),")")</f>
        <v>(34.3)</v>
      </c>
      <c r="D350" s="302">
        <f>'Ind T6'!R425</f>
        <v>15.189999999943105</v>
      </c>
      <c r="E350" s="299" t="str">
        <f>CONCATENATE("(",ROUND((D350/$H352)*100,1),")")</f>
        <v>(5.6)</v>
      </c>
      <c r="F350" s="302">
        <f>'Ind T6'!S425</f>
        <v>25.334000000975408</v>
      </c>
      <c r="G350" s="299" t="str">
        <f>CONCATENATE("(",ROUND((F350/$H352)*100,1),")")</f>
        <v>(9.3)</v>
      </c>
      <c r="H350" s="302">
        <f>SUM(B350,D350,F350)</f>
        <v>133.59999999925509</v>
      </c>
      <c r="I350" s="299" t="str">
        <f>CONCATENATE("(",ROUND((H350/$H352)*100,1),")")</f>
        <v>(49.3)</v>
      </c>
      <c r="K350" s="302">
        <f>B355-B350</f>
        <v>4.3589999989703756</v>
      </c>
      <c r="L350" s="302">
        <f>D355-D350</f>
        <v>1.9459999999878548</v>
      </c>
      <c r="M350" s="302">
        <f>F355-F350</f>
        <v>2.0939999995052823</v>
      </c>
      <c r="N350" s="302">
        <f>SUM(K350:M350)</f>
        <v>8.3989999984635126</v>
      </c>
    </row>
    <row r="351" spans="1:14" x14ac:dyDescent="0.2">
      <c r="A351" s="282" t="s">
        <v>356</v>
      </c>
      <c r="B351" s="302">
        <f>'Ind T6'!Q424</f>
        <v>66.335999999529648</v>
      </c>
      <c r="C351" s="299" t="str">
        <f>CONCATENATE("(",ROUND((B351/$H352)*100,1),")")</f>
        <v>(24.5)</v>
      </c>
      <c r="D351" s="302">
        <f>'Ind T6'!R424</f>
        <v>41.02899999948572</v>
      </c>
      <c r="E351" s="299" t="str">
        <f>CONCATENATE("(",ROUND((D351/$H352)*100,1),")")</f>
        <v>(15.1)</v>
      </c>
      <c r="F351" s="302">
        <f>'Ind T6'!S424</f>
        <v>30.189999999202268</v>
      </c>
      <c r="G351" s="299" t="str">
        <f>CONCATENATE("(",ROUND((F351/$H352)*100,1),")")</f>
        <v>(11.1)</v>
      </c>
      <c r="H351" s="302">
        <f t="shared" ref="H351" si="265">SUM(B351,D351,F351)</f>
        <v>137.55499999821762</v>
      </c>
      <c r="I351" s="299" t="str">
        <f>CONCATENATE("(",ROUND((H351/$H352)*100,1),")")</f>
        <v>(50.7)</v>
      </c>
      <c r="K351" s="302">
        <f t="shared" ref="K351:K352" si="266">B356-B351</f>
        <v>5.147000001408486</v>
      </c>
      <c r="L351" s="302">
        <f t="shared" ref="L351:L352" si="267">D356-D351</f>
        <v>3.8360000008882977</v>
      </c>
      <c r="M351" s="302">
        <f t="shared" ref="M351:M352" si="268">F356-F351</f>
        <v>3.8550000011858607</v>
      </c>
      <c r="N351" s="302">
        <f t="shared" ref="N351:N352" si="269">SUM(K351:M351)</f>
        <v>12.838000003482644</v>
      </c>
    </row>
    <row r="352" spans="1:14" x14ac:dyDescent="0.2">
      <c r="A352" s="282" t="s">
        <v>354</v>
      </c>
      <c r="B352" s="302">
        <f>SUM(B350:B351)</f>
        <v>159.41199999786625</v>
      </c>
      <c r="C352" s="299" t="str">
        <f>CONCATENATE("(",ROUND((B352/$H352)*100,1),")")</f>
        <v>(58.8)</v>
      </c>
      <c r="D352" s="302">
        <f>SUM(D350:D351)</f>
        <v>56.218999999428824</v>
      </c>
      <c r="E352" s="299" t="str">
        <f>CONCATENATE("(",ROUND((D352/$H352)*100,1),")")</f>
        <v>(20.7)</v>
      </c>
      <c r="F352" s="302">
        <f>SUM(F350:F351)</f>
        <v>55.524000000177679</v>
      </c>
      <c r="G352" s="299" t="str">
        <f>CONCATENATE("(",ROUND((F352/$H352)*100,1),")")</f>
        <v>(20.5)</v>
      </c>
      <c r="H352" s="302">
        <f>SUM(H350:H351)</f>
        <v>271.15499999747271</v>
      </c>
      <c r="I352" s="299" t="str">
        <f>CONCATENATE("(",ROUND((H352/$H352)*100,1),")")</f>
        <v>(100)</v>
      </c>
      <c r="K352" s="302">
        <f t="shared" si="266"/>
        <v>9.5060000003788332</v>
      </c>
      <c r="L352" s="302">
        <f t="shared" si="267"/>
        <v>5.7820000008761525</v>
      </c>
      <c r="M352" s="302">
        <f t="shared" si="268"/>
        <v>5.949000000691143</v>
      </c>
      <c r="N352" s="302">
        <f t="shared" si="269"/>
        <v>21.237000001946129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355</v>
      </c>
      <c r="B355" s="302">
        <f>'Ind T6'!V425</f>
        <v>97.43499999730696</v>
      </c>
      <c r="C355" s="299" t="str">
        <f>CONCATENATE("(",ROUND((B355/$H357)*100,1),")")</f>
        <v>(33.3)</v>
      </c>
      <c r="D355" s="302">
        <f>'Ind T6'!W425</f>
        <v>17.135999999930959</v>
      </c>
      <c r="E355" s="299" t="str">
        <f>CONCATENATE("(",ROUND((D355/$H357)*100,1),")")</f>
        <v>(5.9)</v>
      </c>
      <c r="F355" s="302">
        <f>'Ind T6'!X425</f>
        <v>27.42800000048069</v>
      </c>
      <c r="G355" s="299" t="str">
        <f>CONCATENATE("(",ROUND((F355/$H357)*100,1),")")</f>
        <v>(9.4)</v>
      </c>
      <c r="H355" s="302">
        <f>SUM(B355,D355,F355)</f>
        <v>141.99899999771861</v>
      </c>
      <c r="I355" s="299" t="str">
        <f>CONCATENATE("(",ROUND((H355/$H357)*100,1),")")</f>
        <v>(48.6)</v>
      </c>
      <c r="K355" s="302">
        <f>B355-B345</f>
        <v>7.2139999997692428</v>
      </c>
      <c r="L355" s="302">
        <f>D355-D345</f>
        <v>3.0690000000009583</v>
      </c>
      <c r="M355" s="302">
        <f>F355-F345</f>
        <v>3.4460000005201508</v>
      </c>
      <c r="N355" s="302">
        <f>SUM(K355:M355)</f>
        <v>13.729000000290352</v>
      </c>
    </row>
    <row r="356" spans="1:14" x14ac:dyDescent="0.2">
      <c r="A356" s="282" t="s">
        <v>356</v>
      </c>
      <c r="B356" s="302">
        <f>'Ind T6'!V424</f>
        <v>71.483000000938134</v>
      </c>
      <c r="C356" s="299" t="str">
        <f>CONCATENATE("(",ROUND((B356/$H357)*100,1),")")</f>
        <v>(24.4)</v>
      </c>
      <c r="D356" s="302">
        <f>'Ind T6'!W424</f>
        <v>44.865000000374017</v>
      </c>
      <c r="E356" s="299" t="str">
        <f>CONCATENATE("(",ROUND((D356/$H357)*100,1),")")</f>
        <v>(15.3)</v>
      </c>
      <c r="F356" s="302">
        <f>'Ind T6'!X424</f>
        <v>34.045000000388129</v>
      </c>
      <c r="G356" s="299" t="str">
        <f>CONCATENATE("(",ROUND((F356/$H357)*100,1),")")</f>
        <v>(11.6)</v>
      </c>
      <c r="H356" s="302">
        <f t="shared" ref="H356" si="270">SUM(B356,D356,F356)</f>
        <v>150.39300000170027</v>
      </c>
      <c r="I356" s="299" t="str">
        <f>CONCATENATE("(",ROUND((H356/$H357)*100,1),")")</f>
        <v>(51.4)</v>
      </c>
      <c r="K356" s="302">
        <f t="shared" ref="K356:K357" si="271">B356-B346</f>
        <v>8.986000002207966</v>
      </c>
      <c r="L356" s="302">
        <f t="shared" ref="L356:L357" si="272">D356-D346</f>
        <v>6.6320000006171469</v>
      </c>
      <c r="M356" s="302">
        <f t="shared" ref="M356:M357" si="273">F356-F346</f>
        <v>6.3370000008432825</v>
      </c>
      <c r="N356" s="302">
        <f t="shared" ref="N356:N357" si="274">SUM(K356:M356)</f>
        <v>21.955000003668395</v>
      </c>
    </row>
    <row r="357" spans="1:14" x14ac:dyDescent="0.2">
      <c r="A357" s="282" t="s">
        <v>354</v>
      </c>
      <c r="B357" s="302">
        <f>SUM(B355:B356)</f>
        <v>168.91799999824508</v>
      </c>
      <c r="C357" s="299" t="str">
        <f>CONCATENATE("(",ROUND((B357/$H357)*100,1),")")</f>
        <v>(57.8)</v>
      </c>
      <c r="D357" s="302">
        <f>SUM(D355:D356)</f>
        <v>62.001000000304977</v>
      </c>
      <c r="E357" s="299" t="str">
        <f>CONCATENATE("(",ROUND((D357/$H357)*100,1),")")</f>
        <v>(21.2)</v>
      </c>
      <c r="F357" s="302">
        <f>SUM(F355:F356)</f>
        <v>61.473000000868822</v>
      </c>
      <c r="G357" s="299" t="str">
        <f>CONCATENATE("(",ROUND((F357/$H357)*100,1),")")</f>
        <v>(21)</v>
      </c>
      <c r="H357" s="302">
        <f>SUM(H355:H356)</f>
        <v>292.39199999941889</v>
      </c>
      <c r="I357" s="299" t="str">
        <f>CONCATENATE("(",ROUND((H357/$H357)*100,1),")")</f>
        <v>(100)</v>
      </c>
      <c r="K357" s="302">
        <f t="shared" si="271"/>
        <v>16.200000001977202</v>
      </c>
      <c r="L357" s="302">
        <f t="shared" si="272"/>
        <v>9.7010000006181016</v>
      </c>
      <c r="M357" s="302">
        <f t="shared" si="273"/>
        <v>9.7830000013634333</v>
      </c>
      <c r="N357" s="302">
        <f t="shared" si="274"/>
        <v>35.684000003958737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1"/>
      <c r="E361" s="181"/>
      <c r="G361" s="181"/>
      <c r="I361" s="181"/>
    </row>
    <row r="362" spans="1:14" x14ac:dyDescent="0.2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377</v>
      </c>
    </row>
    <row r="364" spans="1:14" x14ac:dyDescent="0.2">
      <c r="A364" s="181" t="s">
        <v>378</v>
      </c>
      <c r="B364" s="369" t="s">
        <v>376</v>
      </c>
      <c r="C364" s="369"/>
      <c r="D364" s="369" t="s">
        <v>375</v>
      </c>
      <c r="E364" s="369"/>
      <c r="F364" s="369" t="s">
        <v>374</v>
      </c>
      <c r="G364" s="369"/>
      <c r="H364" s="369" t="s">
        <v>32</v>
      </c>
      <c r="I364" s="369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2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355</v>
      </c>
      <c r="B366" s="302">
        <f>'Ind T6'!L465</f>
        <v>64.72100000031547</v>
      </c>
      <c r="C366" s="299" t="str">
        <f>CONCATENATE("(",ROUND((B366/$H368)*100,1),")")</f>
        <v>(32.8)</v>
      </c>
      <c r="D366" s="302">
        <f>'Ind T6'!M465</f>
        <v>20.299000000193253</v>
      </c>
      <c r="E366" s="299" t="str">
        <f>CONCATENATE("(",ROUND((D366/$H368)*100,1),")")</f>
        <v>(10.3)</v>
      </c>
      <c r="F366" s="302">
        <f>'Ind T6'!N465</f>
        <v>18.369000000197339</v>
      </c>
      <c r="G366" s="299" t="str">
        <f>CONCATENATE("(",ROUND((F366/$H368)*100,1),")")</f>
        <v>(9.3)</v>
      </c>
      <c r="H366" s="302">
        <f>SUM(B366,D366,F366)</f>
        <v>103.38900000070606</v>
      </c>
      <c r="I366" s="299" t="str">
        <f>CONCATENATE("(",ROUND((H366/$H368)*100,1),")")</f>
        <v>(52.3)</v>
      </c>
      <c r="K366" s="302">
        <f>B371-B366</f>
        <v>7.1300000000815089</v>
      </c>
      <c r="L366" s="302">
        <f>D371-D366</f>
        <v>2.192000000002345</v>
      </c>
      <c r="M366" s="302">
        <f>F371-F366</f>
        <v>1.7040000002867473</v>
      </c>
      <c r="N366" s="302">
        <f>SUM(K366:M366)</f>
        <v>11.026000000370601</v>
      </c>
    </row>
    <row r="367" spans="1:14" x14ac:dyDescent="0.2">
      <c r="A367" s="282" t="s">
        <v>356</v>
      </c>
      <c r="B367" s="302">
        <f>'Ind T6'!L464</f>
        <v>38.078000000064591</v>
      </c>
      <c r="C367" s="299" t="str">
        <f>CONCATENATE("(",ROUND((B367/$H368)*100,1),")")</f>
        <v>(19.3)</v>
      </c>
      <c r="D367" s="302">
        <f>'Ind T6'!M464</f>
        <v>35.185000000191145</v>
      </c>
      <c r="E367" s="299" t="str">
        <f>CONCATENATE("(",ROUND((D367/$H368)*100,1),")")</f>
        <v>(17.8)</v>
      </c>
      <c r="F367" s="302">
        <f>'Ind T6'!N464</f>
        <v>20.879999999661297</v>
      </c>
      <c r="G367" s="299" t="str">
        <f>CONCATENATE("(",ROUND((F367/$H368)*100,1),")")</f>
        <v>(10.6)</v>
      </c>
      <c r="H367" s="302">
        <f t="shared" ref="H367" si="275">SUM(B367,D367,F367)</f>
        <v>94.142999999917038</v>
      </c>
      <c r="I367" s="299" t="str">
        <f>CONCATENATE("(",ROUND((H367/$H368)*100,1),")")</f>
        <v>(47.7)</v>
      </c>
      <c r="K367" s="302">
        <f t="shared" ref="K367:K368" si="276">B372-B367</f>
        <v>4.9560000010823444</v>
      </c>
      <c r="L367" s="302">
        <f t="shared" ref="L367:L368" si="277">D372-D367</f>
        <v>3.1420000000747166</v>
      </c>
      <c r="M367" s="302">
        <f t="shared" ref="M367:M368" si="278">F372-F367</f>
        <v>1.9160000002176538</v>
      </c>
      <c r="N367" s="302">
        <f t="shared" ref="N367:N368" si="279">SUM(K367:M367)</f>
        <v>10.014000001374715</v>
      </c>
    </row>
    <row r="368" spans="1:14" x14ac:dyDescent="0.2">
      <c r="A368" s="282" t="s">
        <v>354</v>
      </c>
      <c r="B368" s="302">
        <f>SUM(B366:B367)</f>
        <v>102.79900000038006</v>
      </c>
      <c r="C368" s="299" t="str">
        <f>CONCATENATE("(",ROUND((B368/$H368)*100,1),")")</f>
        <v>(52)</v>
      </c>
      <c r="D368" s="302">
        <f>SUM(D366:D367)</f>
        <v>55.484000000384398</v>
      </c>
      <c r="E368" s="299" t="str">
        <f>CONCATENATE("(",ROUND((D368/$H368)*100,1),")")</f>
        <v>(28.1)</v>
      </c>
      <c r="F368" s="302">
        <f>SUM(F366:F367)</f>
        <v>39.24899999985864</v>
      </c>
      <c r="G368" s="299" t="str">
        <f>CONCATENATE("(",ROUND((F368/$H368)*100,1),")")</f>
        <v>(19.9)</v>
      </c>
      <c r="H368" s="302">
        <f>SUM(H366:H367)</f>
        <v>197.5320000006231</v>
      </c>
      <c r="I368" s="299" t="str">
        <f>CONCATENATE("(",ROUND((H368/$H368)*100,1),")")</f>
        <v>(100)</v>
      </c>
      <c r="K368" s="302">
        <f t="shared" si="276"/>
        <v>12.086000001163853</v>
      </c>
      <c r="L368" s="302">
        <f t="shared" si="277"/>
        <v>5.3340000000770615</v>
      </c>
      <c r="M368" s="302">
        <f t="shared" si="278"/>
        <v>3.6200000005043975</v>
      </c>
      <c r="N368" s="302">
        <f t="shared" si="279"/>
        <v>21.040000001745312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355</v>
      </c>
      <c r="B371" s="302">
        <f>'Ind T6'!Q465</f>
        <v>71.851000000396979</v>
      </c>
      <c r="C371" s="299" t="str">
        <f>CONCATENATE("(",ROUND((B371/$H373)*100,1),")")</f>
        <v>(32.9)</v>
      </c>
      <c r="D371" s="302">
        <f>'Ind T6'!R465</f>
        <v>22.491000000195598</v>
      </c>
      <c r="E371" s="299" t="str">
        <f>CONCATENATE("(",ROUND((D371/$H373)*100,1),")")</f>
        <v>(10.3)</v>
      </c>
      <c r="F371" s="302">
        <f>'Ind T6'!S465</f>
        <v>20.073000000484086</v>
      </c>
      <c r="G371" s="299" t="str">
        <f>CONCATENATE("(",ROUND((F371/$H373)*100,1),")")</f>
        <v>(9.2)</v>
      </c>
      <c r="H371" s="302">
        <f>SUM(B371,D371,F371)</f>
        <v>114.41500000107666</v>
      </c>
      <c r="I371" s="299" t="str">
        <f>CONCATENATE("(",ROUND((H371/$H373)*100,1),")")</f>
        <v>(52.3)</v>
      </c>
      <c r="K371" s="302">
        <f>B376-B371</f>
        <v>6.8870000001511471</v>
      </c>
      <c r="L371" s="302">
        <f>D376-D371</f>
        <v>1.9290000001373357</v>
      </c>
      <c r="M371" s="302">
        <f>F376-F371</f>
        <v>1.9949999999078933</v>
      </c>
      <c r="N371" s="302">
        <f>SUM(K371:M371)</f>
        <v>10.811000000196376</v>
      </c>
    </row>
    <row r="372" spans="1:14" x14ac:dyDescent="0.2">
      <c r="A372" s="282" t="s">
        <v>356</v>
      </c>
      <c r="B372" s="302">
        <f>'Ind T6'!Q464</f>
        <v>43.034000001146936</v>
      </c>
      <c r="C372" s="299" t="str">
        <f>CONCATENATE("(",ROUND((B372/$H373)*100,1),")")</f>
        <v>(19.7)</v>
      </c>
      <c r="D372" s="302">
        <f>'Ind T6'!R464</f>
        <v>38.327000000265862</v>
      </c>
      <c r="E372" s="299" t="str">
        <f>CONCATENATE("(",ROUND((D372/$H373)*100,1),")")</f>
        <v>(17.5)</v>
      </c>
      <c r="F372" s="302">
        <f>'Ind T6'!S464</f>
        <v>22.795999999878951</v>
      </c>
      <c r="G372" s="299" t="str">
        <f>CONCATENATE("(",ROUND((F372/$H373)*100,1),")")</f>
        <v>(10.4)</v>
      </c>
      <c r="H372" s="302">
        <f t="shared" ref="H372" si="280">SUM(B372,D372,F372)</f>
        <v>104.15700000129175</v>
      </c>
      <c r="I372" s="299" t="str">
        <f>CONCATENATE("(",ROUND((H372/$H373)*100,1),")")</f>
        <v>(47.7)</v>
      </c>
      <c r="K372" s="302">
        <f t="shared" ref="K372:K373" si="281">B377-B372</f>
        <v>5.1759999984272369</v>
      </c>
      <c r="L372" s="302">
        <f t="shared" ref="L372:L373" si="282">D377-D372</f>
        <v>2.238999999750078</v>
      </c>
      <c r="M372" s="302">
        <f t="shared" ref="M372:M373" si="283">F377-F372</f>
        <v>2.4090000001600451</v>
      </c>
      <c r="N372" s="302">
        <f t="shared" ref="N372:N373" si="284">SUM(K372:M372)</f>
        <v>9.82399999833736</v>
      </c>
    </row>
    <row r="373" spans="1:14" x14ac:dyDescent="0.2">
      <c r="A373" s="282" t="s">
        <v>354</v>
      </c>
      <c r="B373" s="302">
        <f>SUM(B371:B372)</f>
        <v>114.88500000154392</v>
      </c>
      <c r="C373" s="299" t="str">
        <f>CONCATENATE("(",ROUND((B373/$H373)*100,1),")")</f>
        <v>(52.6)</v>
      </c>
      <c r="D373" s="302">
        <f>SUM(D371:D372)</f>
        <v>60.81800000046146</v>
      </c>
      <c r="E373" s="299" t="str">
        <f>CONCATENATE("(",ROUND((D373/$H373)*100,1),")")</f>
        <v>(27.8)</v>
      </c>
      <c r="F373" s="302">
        <f>SUM(F371:F372)</f>
        <v>42.869000000363037</v>
      </c>
      <c r="G373" s="299" t="str">
        <f>CONCATENATE("(",ROUND((F373/$H373)*100,1),")")</f>
        <v>(19.6)</v>
      </c>
      <c r="H373" s="302">
        <f>SUM(H371:H372)</f>
        <v>218.57200000236841</v>
      </c>
      <c r="I373" s="299" t="str">
        <f>CONCATENATE("(",ROUND((H373/$H373)*100,1),")")</f>
        <v>(100)</v>
      </c>
      <c r="K373" s="302">
        <f t="shared" si="281"/>
        <v>12.062999998578391</v>
      </c>
      <c r="L373" s="302">
        <f t="shared" si="282"/>
        <v>4.1679999998874067</v>
      </c>
      <c r="M373" s="302">
        <f t="shared" si="283"/>
        <v>4.4040000000679385</v>
      </c>
      <c r="N373" s="302">
        <f t="shared" si="284"/>
        <v>20.634999998533736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355</v>
      </c>
      <c r="B376" s="302">
        <f>'Ind T6'!V465</f>
        <v>78.738000000548126</v>
      </c>
      <c r="C376" s="299" t="str">
        <f>CONCATENATE("(",ROUND((B376/$H378)*100,1),")")</f>
        <v>(32.9)</v>
      </c>
      <c r="D376" s="302">
        <f>'Ind T6'!W465</f>
        <v>24.420000000332934</v>
      </c>
      <c r="E376" s="299" t="str">
        <f>CONCATENATE("(",ROUND((D376/$H378)*100,1),")")</f>
        <v>(10.2)</v>
      </c>
      <c r="F376" s="302">
        <f>'Ind T6'!X465</f>
        <v>22.068000000391979</v>
      </c>
      <c r="G376" s="299" t="str">
        <f>CONCATENATE("(",ROUND((F376/$H378)*100,1),")")</f>
        <v>(9.2)</v>
      </c>
      <c r="H376" s="302">
        <f>SUM(B376,D376,F376)</f>
        <v>125.22600000127304</v>
      </c>
      <c r="I376" s="299" t="str">
        <f>CONCATENATE("(",ROUND((H376/$H378)*100,1),")")</f>
        <v>(52.4)</v>
      </c>
      <c r="K376" s="302">
        <f>B376-B366</f>
        <v>14.017000000232656</v>
      </c>
      <c r="L376" s="302">
        <f>D376-D366</f>
        <v>4.1210000001396807</v>
      </c>
      <c r="M376" s="302">
        <f>F376-F366</f>
        <v>3.6990000001946406</v>
      </c>
      <c r="N376" s="302">
        <f>SUM(K376:M376)</f>
        <v>21.837000000566977</v>
      </c>
    </row>
    <row r="377" spans="1:14" x14ac:dyDescent="0.2">
      <c r="A377" s="282" t="s">
        <v>356</v>
      </c>
      <c r="B377" s="302">
        <f>'Ind T6'!V464</f>
        <v>48.209999999574173</v>
      </c>
      <c r="C377" s="299" t="str">
        <f>CONCATENATE("(",ROUND((B377/$H378)*100,1),")")</f>
        <v>(20.2)</v>
      </c>
      <c r="D377" s="302">
        <f>'Ind T6'!W464</f>
        <v>40.56600000001594</v>
      </c>
      <c r="E377" s="299" t="str">
        <f>CONCATENATE("(",ROUND((D377/$H378)*100,1),")")</f>
        <v>(17)</v>
      </c>
      <c r="F377" s="302">
        <f>'Ind T6'!X464</f>
        <v>25.205000000038996</v>
      </c>
      <c r="G377" s="299" t="str">
        <f>CONCATENATE("(",ROUND((F377/$H378)*100,1),")")</f>
        <v>(10.5)</v>
      </c>
      <c r="H377" s="302">
        <f t="shared" ref="H377" si="285">SUM(B377,D377,F377)</f>
        <v>113.98099999962911</v>
      </c>
      <c r="I377" s="299" t="str">
        <f>CONCATENATE("(",ROUND((H377/$H378)*100,1),")")</f>
        <v>(47.6)</v>
      </c>
      <c r="K377" s="302">
        <f t="shared" ref="K377:K378" si="286">B377-B367</f>
        <v>10.131999999509581</v>
      </c>
      <c r="L377" s="302">
        <f t="shared" ref="L377:L378" si="287">D377-D367</f>
        <v>5.3809999998247946</v>
      </c>
      <c r="M377" s="302">
        <f t="shared" ref="M377:M378" si="288">F377-F367</f>
        <v>4.3250000003776989</v>
      </c>
      <c r="N377" s="302">
        <f t="shared" ref="N377:N378" si="289">SUM(K377:M377)</f>
        <v>19.837999999712075</v>
      </c>
    </row>
    <row r="378" spans="1:14" x14ac:dyDescent="0.2">
      <c r="A378" s="282" t="s">
        <v>354</v>
      </c>
      <c r="B378" s="302">
        <f>SUM(B376:B377)</f>
        <v>126.94800000012231</v>
      </c>
      <c r="C378" s="299" t="str">
        <f>CONCATENATE("(",ROUND((B378/$H378)*100,1),")")</f>
        <v>(53.1)</v>
      </c>
      <c r="D378" s="302">
        <f>SUM(D376:D377)</f>
        <v>64.986000000348866</v>
      </c>
      <c r="E378" s="299" t="str">
        <f>CONCATENATE("(",ROUND((D378/$H378)*100,1),")")</f>
        <v>(27.2)</v>
      </c>
      <c r="F378" s="302">
        <f>SUM(F376:F377)</f>
        <v>47.273000000430976</v>
      </c>
      <c r="G378" s="299" t="str">
        <f>CONCATENATE("(",ROUND((F378/$H378)*100,1),")")</f>
        <v>(19.8)</v>
      </c>
      <c r="H378" s="302">
        <f>SUM(H376:H377)</f>
        <v>239.20700000090216</v>
      </c>
      <c r="I378" s="299" t="str">
        <f>CONCATENATE("(",ROUND((H378/$H378)*100,1),")")</f>
        <v>(100)</v>
      </c>
      <c r="K378" s="302">
        <f t="shared" si="286"/>
        <v>24.148999999742244</v>
      </c>
      <c r="L378" s="302">
        <f t="shared" si="287"/>
        <v>9.5019999999644682</v>
      </c>
      <c r="M378" s="302">
        <f t="shared" si="288"/>
        <v>8.024000000572336</v>
      </c>
      <c r="N378" s="302">
        <f t="shared" si="289"/>
        <v>41.675000000279049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377</v>
      </c>
    </row>
    <row r="385" spans="1:14" x14ac:dyDescent="0.2">
      <c r="A385" s="181" t="s">
        <v>378</v>
      </c>
      <c r="B385" s="369" t="s">
        <v>376</v>
      </c>
      <c r="C385" s="369"/>
      <c r="D385" s="369" t="s">
        <v>375</v>
      </c>
      <c r="E385" s="369"/>
      <c r="F385" s="369" t="s">
        <v>374</v>
      </c>
      <c r="G385" s="369"/>
      <c r="H385" s="369" t="s">
        <v>32</v>
      </c>
      <c r="I385" s="369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2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355</v>
      </c>
      <c r="B387" s="302">
        <f>'Ind T6'!L475</f>
        <v>39.341999999434591</v>
      </c>
      <c r="C387" s="299" t="str">
        <f>CONCATENATE("(",ROUND((B387/$H389)*100,1),")")</f>
        <v>(36.1)</v>
      </c>
      <c r="D387" s="302">
        <f>'Ind T6'!M475</f>
        <v>6.3789999999585687</v>
      </c>
      <c r="E387" s="299" t="str">
        <f>CONCATENATE("(",ROUND((D387/$H389)*100,1),")")</f>
        <v>(5.9)</v>
      </c>
      <c r="F387" s="302">
        <f>'Ind T6'!N475</f>
        <v>3.6079999999980714</v>
      </c>
      <c r="G387" s="299" t="str">
        <f>CONCATENATE("(",ROUND((F387/$H389)*100,1),")")</f>
        <v>(3.3)</v>
      </c>
      <c r="H387" s="302">
        <f>SUM(B387,D387,F387)</f>
        <v>49.328999999391229</v>
      </c>
      <c r="I387" s="299" t="str">
        <f>CONCATENATE("(",ROUND((H387/$H389)*100,1),")")</f>
        <v>(45.3)</v>
      </c>
      <c r="K387" s="302">
        <f>B392-B387</f>
        <v>1.4230000001432828</v>
      </c>
      <c r="L387" s="302">
        <f>D392-D387</f>
        <v>0.72999999999767518</v>
      </c>
      <c r="M387" s="302">
        <f>F392-F387</f>
        <v>0.21100000010450115</v>
      </c>
      <c r="N387" s="302">
        <f>SUM(K387:M387)</f>
        <v>2.3640000002454591</v>
      </c>
    </row>
    <row r="388" spans="1:14" x14ac:dyDescent="0.2">
      <c r="A388" s="282" t="s">
        <v>356</v>
      </c>
      <c r="B388" s="302">
        <f>'Ind T6'!L474</f>
        <v>30.028999999856925</v>
      </c>
      <c r="C388" s="299" t="str">
        <f>CONCATENATE("(",ROUND((B388/$H389)*100,1),")")</f>
        <v>(27.6)</v>
      </c>
      <c r="D388" s="302">
        <f>'Ind T6'!M474</f>
        <v>26.639999999728534</v>
      </c>
      <c r="E388" s="299" t="str">
        <f>CONCATENATE("(",ROUND((D388/$H389)*100,1),")")</f>
        <v>(24.5)</v>
      </c>
      <c r="F388" s="302">
        <f>'Ind T6'!N474</f>
        <v>2.8979999999639587</v>
      </c>
      <c r="G388" s="299" t="str">
        <f>CONCATENATE("(",ROUND((F388/$H389)*100,1),")")</f>
        <v>(2.7)</v>
      </c>
      <c r="H388" s="302">
        <f t="shared" ref="H388" si="290">SUM(B388,D388,F388)</f>
        <v>59.566999999549417</v>
      </c>
      <c r="I388" s="299" t="str">
        <f>CONCATENATE("(",ROUND((H388/$H389)*100,1),")")</f>
        <v>(54.7)</v>
      </c>
      <c r="K388" s="302">
        <f t="shared" ref="K388:K389" si="291">B393-B388</f>
        <v>1.7259999995054081</v>
      </c>
      <c r="L388" s="302">
        <f t="shared" ref="L388:L389" si="292">D393-D388</f>
        <v>1.5899999997675529</v>
      </c>
      <c r="M388" s="302">
        <f t="shared" ref="M388:M389" si="293">F393-F388</f>
        <v>0.17099999995256088</v>
      </c>
      <c r="N388" s="302">
        <f t="shared" ref="N388:N389" si="294">SUM(K388:M388)</f>
        <v>3.4869999992255218</v>
      </c>
    </row>
    <row r="389" spans="1:14" x14ac:dyDescent="0.2">
      <c r="A389" s="282" t="s">
        <v>354</v>
      </c>
      <c r="B389" s="302">
        <f>SUM(B387:B388)</f>
        <v>69.370999999291513</v>
      </c>
      <c r="C389" s="299" t="str">
        <f>CONCATENATE("(",ROUND((B389/$H389)*100,1),")")</f>
        <v>(63.7)</v>
      </c>
      <c r="D389" s="302">
        <f>SUM(D387:D388)</f>
        <v>33.018999999687104</v>
      </c>
      <c r="E389" s="299" t="str">
        <f>CONCATENATE("(",ROUND((D389/$H389)*100,1),")")</f>
        <v>(30.3)</v>
      </c>
      <c r="F389" s="302">
        <f>SUM(F387:F388)</f>
        <v>6.5059999999620306</v>
      </c>
      <c r="G389" s="299" t="str">
        <f>CONCATENATE("(",ROUND((F389/$H389)*100,1),")")</f>
        <v>(6)</v>
      </c>
      <c r="H389" s="302">
        <f>SUM(H387:H388)</f>
        <v>108.89599999894065</v>
      </c>
      <c r="I389" s="299" t="str">
        <f>CONCATENATE("(",ROUND((H389/$H389)*100,1),")")</f>
        <v>(100)</v>
      </c>
      <c r="K389" s="302">
        <f t="shared" si="291"/>
        <v>3.1489999996486944</v>
      </c>
      <c r="L389" s="302">
        <f t="shared" si="292"/>
        <v>2.3199999997652299</v>
      </c>
      <c r="M389" s="302">
        <f t="shared" si="293"/>
        <v>0.38200000005706158</v>
      </c>
      <c r="N389" s="302">
        <f t="shared" si="294"/>
        <v>5.8509999994709858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355</v>
      </c>
      <c r="B392" s="302">
        <f>'Ind T6'!Q475</f>
        <v>40.764999999577874</v>
      </c>
      <c r="C392" s="299" t="str">
        <f>CONCATENATE("(",ROUND((B392/$H394)*100,1),")")</f>
        <v>(35.5)</v>
      </c>
      <c r="D392" s="302">
        <f>'Ind T6'!R475</f>
        <v>7.1089999999562439</v>
      </c>
      <c r="E392" s="299" t="str">
        <f>CONCATENATE("(",ROUND((D392/$H394)*100,1),")")</f>
        <v>(6.2)</v>
      </c>
      <c r="F392" s="302">
        <f>'Ind T6'!S475</f>
        <v>3.8190000001025726</v>
      </c>
      <c r="G392" s="299" t="str">
        <f>CONCATENATE("(",ROUND((F392/$H394)*100,1),")")</f>
        <v>(3.3)</v>
      </c>
      <c r="H392" s="302">
        <f>SUM(B392,D392,F392)</f>
        <v>51.69299999963669</v>
      </c>
      <c r="I392" s="299" t="str">
        <f>CONCATENATE("(",ROUND((H392/$H394)*100,1),")")</f>
        <v>(45)</v>
      </c>
      <c r="K392" s="302">
        <f>B397-B392</f>
        <v>-0.56900000028099385</v>
      </c>
      <c r="L392" s="302">
        <f>D397-D392</f>
        <v>0.95299999997307072</v>
      </c>
      <c r="M392" s="302">
        <f>F397-F392</f>
        <v>0.14899999994863089</v>
      </c>
      <c r="N392" s="302">
        <f>SUM(K392:M392)</f>
        <v>0.53299999964070777</v>
      </c>
    </row>
    <row r="393" spans="1:14" x14ac:dyDescent="0.2">
      <c r="A393" s="282" t="s">
        <v>356</v>
      </c>
      <c r="B393" s="302">
        <f>'Ind T6'!Q474</f>
        <v>31.754999999362333</v>
      </c>
      <c r="C393" s="299" t="str">
        <f>CONCATENATE("(",ROUND((B393/$H394)*100,1),")")</f>
        <v>(27.7)</v>
      </c>
      <c r="D393" s="302">
        <f>'Ind T6'!R474</f>
        <v>28.229999999496087</v>
      </c>
      <c r="E393" s="299" t="str">
        <f>CONCATENATE("(",ROUND((D393/$H394)*100,1),")")</f>
        <v>(24.6)</v>
      </c>
      <c r="F393" s="302">
        <f>'Ind T6'!S474</f>
        <v>3.0689999999165196</v>
      </c>
      <c r="G393" s="299" t="str">
        <f>CONCATENATE("(",ROUND((F393/$H394)*100,1),")")</f>
        <v>(2.7)</v>
      </c>
      <c r="H393" s="302">
        <f t="shared" ref="H393" si="295">SUM(B393,D393,F393)</f>
        <v>63.053999998774941</v>
      </c>
      <c r="I393" s="299" t="str">
        <f>CONCATENATE("(",ROUND((H393/$H394)*100,1),")")</f>
        <v>(55)</v>
      </c>
      <c r="K393" s="302">
        <f t="shared" ref="K393:K394" si="296">B398-B393</f>
        <v>0.88700000097433929</v>
      </c>
      <c r="L393" s="302">
        <f t="shared" ref="L393:L394" si="297">D398-D393</f>
        <v>0.8010000006521274</v>
      </c>
      <c r="M393" s="302">
        <f t="shared" ref="M393:M394" si="298">F398-F393</f>
        <v>0.11100000010637778</v>
      </c>
      <c r="N393" s="302">
        <f t="shared" ref="N393:N394" si="299">SUM(K393:M393)</f>
        <v>1.7990000017328445</v>
      </c>
    </row>
    <row r="394" spans="1:14" x14ac:dyDescent="0.2">
      <c r="A394" s="282" t="s">
        <v>354</v>
      </c>
      <c r="B394" s="302">
        <f>SUM(B392:B393)</f>
        <v>72.519999998940207</v>
      </c>
      <c r="C394" s="299" t="str">
        <f>CONCATENATE("(",ROUND((B394/$H394)*100,1),")")</f>
        <v>(63.2)</v>
      </c>
      <c r="D394" s="302">
        <f>SUM(D392:D393)</f>
        <v>35.338999999452334</v>
      </c>
      <c r="E394" s="299" t="str">
        <f>CONCATENATE("(",ROUND((D394/$H394)*100,1),")")</f>
        <v>(30.8)</v>
      </c>
      <c r="F394" s="302">
        <f>SUM(F392:F393)</f>
        <v>6.8880000000190922</v>
      </c>
      <c r="G394" s="299" t="str">
        <f>CONCATENATE("(",ROUND((F394/$H394)*100,1),")")</f>
        <v>(6)</v>
      </c>
      <c r="H394" s="302">
        <f>SUM(H392:H393)</f>
        <v>114.74699999841164</v>
      </c>
      <c r="I394" s="299" t="str">
        <f>CONCATENATE("(",ROUND((H394/$H394)*100,1),")")</f>
        <v>(100)</v>
      </c>
      <c r="K394" s="302">
        <f t="shared" si="296"/>
        <v>0.31800000069334544</v>
      </c>
      <c r="L394" s="302">
        <f t="shared" si="297"/>
        <v>1.7540000006251972</v>
      </c>
      <c r="M394" s="302">
        <f t="shared" si="298"/>
        <v>0.26000000005500823</v>
      </c>
      <c r="N394" s="302">
        <f t="shared" si="299"/>
        <v>2.3320000013735509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355</v>
      </c>
      <c r="B397" s="302">
        <f>'Ind T6'!V475</f>
        <v>40.19599999929688</v>
      </c>
      <c r="C397" s="299" t="str">
        <f>CONCATENATE("(",ROUND((B397/$H399)*100,1),")")</f>
        <v>(34.3)</v>
      </c>
      <c r="D397" s="302">
        <f>'Ind T6'!W475</f>
        <v>8.0619999999293146</v>
      </c>
      <c r="E397" s="299" t="str">
        <f>CONCATENATE("(",ROUND((D397/$H399)*100,1),")")</f>
        <v>(6.9)</v>
      </c>
      <c r="F397" s="302">
        <f>'Ind T6'!X475</f>
        <v>3.9680000000512035</v>
      </c>
      <c r="G397" s="299" t="str">
        <f>CONCATENATE("(",ROUND((F397/$H399)*100,1),")")</f>
        <v>(3.4)</v>
      </c>
      <c r="H397" s="302">
        <f>SUM(B397,D397,F397)</f>
        <v>52.225999999277398</v>
      </c>
      <c r="I397" s="299" t="str">
        <f>CONCATENATE("(",ROUND((H397/$H399)*100,1),")")</f>
        <v>(44.6)</v>
      </c>
      <c r="K397" s="302">
        <f>B397-B387</f>
        <v>0.85399999986228892</v>
      </c>
      <c r="L397" s="302">
        <f>D397-D387</f>
        <v>1.6829999999707459</v>
      </c>
      <c r="M397" s="302">
        <f>F397-F387</f>
        <v>0.36000000005313204</v>
      </c>
      <c r="N397" s="302">
        <f>SUM(K397:M397)</f>
        <v>2.8969999998861669</v>
      </c>
    </row>
    <row r="398" spans="1:14" x14ac:dyDescent="0.2">
      <c r="A398" s="282" t="s">
        <v>356</v>
      </c>
      <c r="B398" s="302">
        <f>'Ind T6'!V474</f>
        <v>32.642000000336672</v>
      </c>
      <c r="C398" s="299" t="str">
        <f>CONCATENATE("(",ROUND((B398/$H399)*100,1),")")</f>
        <v>(27.9)</v>
      </c>
      <c r="D398" s="302">
        <f>'Ind T6'!W474</f>
        <v>29.031000000148214</v>
      </c>
      <c r="E398" s="299" t="str">
        <f>CONCATENATE("(",ROUND((D398/$H399)*100,1),")")</f>
        <v>(24.8)</v>
      </c>
      <c r="F398" s="302">
        <f>'Ind T6'!X474</f>
        <v>3.1800000000228974</v>
      </c>
      <c r="G398" s="299" t="str">
        <f>CONCATENATE("(",ROUND((F398/$H399)*100,1),")")</f>
        <v>(2.7)</v>
      </c>
      <c r="H398" s="302">
        <f t="shared" ref="H398" si="300">SUM(B398,D398,F398)</f>
        <v>64.853000000507791</v>
      </c>
      <c r="I398" s="299" t="str">
        <f>CONCATENATE("(",ROUND((H398/$H399)*100,1),")")</f>
        <v>(55.4)</v>
      </c>
      <c r="K398" s="302">
        <f t="shared" ref="K398:K399" si="301">B398-B388</f>
        <v>2.6130000004797473</v>
      </c>
      <c r="L398" s="302">
        <f t="shared" ref="L398:L399" si="302">D398-D388</f>
        <v>2.3910000004196803</v>
      </c>
      <c r="M398" s="302">
        <f t="shared" ref="M398:M399" si="303">F398-F388</f>
        <v>0.28200000005893866</v>
      </c>
      <c r="N398" s="302">
        <f t="shared" ref="N398:N399" si="304">SUM(K398:M398)</f>
        <v>5.2860000009583663</v>
      </c>
    </row>
    <row r="399" spans="1:14" x14ac:dyDescent="0.2">
      <c r="A399" s="282" t="s">
        <v>354</v>
      </c>
      <c r="B399" s="302">
        <f>SUM(B397:B398)</f>
        <v>72.837999999633553</v>
      </c>
      <c r="C399" s="299" t="str">
        <f>CONCATENATE("(",ROUND((B399/$H399)*100,1),")")</f>
        <v>(62.2)</v>
      </c>
      <c r="D399" s="302">
        <f>SUM(D397:D398)</f>
        <v>37.093000000077531</v>
      </c>
      <c r="E399" s="299" t="str">
        <f>CONCATENATE("(",ROUND((D399/$H399)*100,1),")")</f>
        <v>(31.7)</v>
      </c>
      <c r="F399" s="302">
        <f>SUM(F397:F398)</f>
        <v>7.1480000000741004</v>
      </c>
      <c r="G399" s="299" t="str">
        <f>CONCATENATE("(",ROUND((F399/$H399)*100,1),")")</f>
        <v>(6.1)</v>
      </c>
      <c r="H399" s="302">
        <f>SUM(H397:H398)</f>
        <v>117.0789999997852</v>
      </c>
      <c r="I399" s="299" t="str">
        <f>CONCATENATE("(",ROUND((H399/$H399)*100,1),")")</f>
        <v>(100)</v>
      </c>
      <c r="K399" s="302">
        <f t="shared" si="301"/>
        <v>3.4670000003420398</v>
      </c>
      <c r="L399" s="302">
        <f t="shared" si="302"/>
        <v>4.0740000003904271</v>
      </c>
      <c r="M399" s="302">
        <f t="shared" si="303"/>
        <v>0.64200000011206981</v>
      </c>
      <c r="N399" s="302">
        <f t="shared" si="304"/>
        <v>8.1830000008445367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377</v>
      </c>
    </row>
    <row r="406" spans="1:14" x14ac:dyDescent="0.2">
      <c r="A406" s="181" t="s">
        <v>378</v>
      </c>
      <c r="B406" s="369" t="s">
        <v>376</v>
      </c>
      <c r="C406" s="369"/>
      <c r="D406" s="369" t="s">
        <v>375</v>
      </c>
      <c r="E406" s="369"/>
      <c r="F406" s="369" t="s">
        <v>374</v>
      </c>
      <c r="G406" s="369"/>
      <c r="H406" s="369" t="s">
        <v>32</v>
      </c>
      <c r="I406" s="369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2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355</v>
      </c>
      <c r="B408" s="302">
        <f>'Ind T6'!L485</f>
        <v>43.167000000170802</v>
      </c>
      <c r="C408" s="299" t="str">
        <f>CONCATENATE("(",ROUND((B408/$H410)*100,1),")")</f>
        <v>(17.8)</v>
      </c>
      <c r="D408" s="302">
        <f>'Ind T6'!M485</f>
        <v>17.22400000010062</v>
      </c>
      <c r="E408" s="299" t="str">
        <f>CONCATENATE("(",ROUND((D408/$H410)*100,1),")")</f>
        <v>(7.1)</v>
      </c>
      <c r="F408" s="302">
        <f>'Ind T6'!N485</f>
        <v>4.5240000001118466</v>
      </c>
      <c r="G408" s="299" t="str">
        <f>CONCATENATE("(",ROUND((F408/$H410)*100,1),")")</f>
        <v>(1.9)</v>
      </c>
      <c r="H408" s="302">
        <f>SUM(B408,D408,F408)</f>
        <v>64.915000000383259</v>
      </c>
      <c r="I408" s="299" t="str">
        <f>CONCATENATE("(",ROUND((H408/$H410)*100,1),")")</f>
        <v>(26.8)</v>
      </c>
      <c r="K408" s="302">
        <f>B413-B408</f>
        <v>0.47099999758172828</v>
      </c>
      <c r="L408" s="302">
        <f>D413-D408</f>
        <v>0.65499999944722376</v>
      </c>
      <c r="M408" s="302">
        <f>F413-F408</f>
        <v>0.20000000030601495</v>
      </c>
      <c r="N408" s="302">
        <f>SUM(K408:M408)</f>
        <v>1.325999997334967</v>
      </c>
    </row>
    <row r="409" spans="1:14" x14ac:dyDescent="0.2">
      <c r="A409" s="282" t="s">
        <v>356</v>
      </c>
      <c r="B409" s="302">
        <f>'Ind T6'!L484</f>
        <v>62.22500000141428</v>
      </c>
      <c r="C409" s="299" t="str">
        <f>CONCATENATE("(",ROUND((B409/$H410)*100,1),")")</f>
        <v>(25.7)</v>
      </c>
      <c r="D409" s="302">
        <f>'Ind T6'!M484</f>
        <v>97.73899999439594</v>
      </c>
      <c r="E409" s="299" t="str">
        <f>CONCATENATE("(",ROUND((D409/$H410)*100,1),")")</f>
        <v>(40.4)</v>
      </c>
      <c r="F409" s="302">
        <f>'Ind T6'!N484</f>
        <v>17.006999999667702</v>
      </c>
      <c r="G409" s="299" t="str">
        <f>CONCATENATE("(",ROUND((F409/$H410)*100,1),")")</f>
        <v>(7)</v>
      </c>
      <c r="H409" s="302">
        <f t="shared" ref="H409" si="305">SUM(B409,D409,F409)</f>
        <v>176.97099999547791</v>
      </c>
      <c r="I409" s="299" t="str">
        <f>CONCATENATE("(",ROUND((H409/$H410)*100,1),")")</f>
        <v>(73.2)</v>
      </c>
      <c r="K409" s="302">
        <f t="shared" ref="K409:K410" si="306">B414-B409</f>
        <v>2.9279999897574882</v>
      </c>
      <c r="L409" s="302">
        <f t="shared" ref="L409:L410" si="307">D414-D409</f>
        <v>0.21899999452759289</v>
      </c>
      <c r="M409" s="302">
        <f t="shared" ref="M409:M410" si="308">F414-F409</f>
        <v>0.60699999972783658</v>
      </c>
      <c r="N409" s="302">
        <f t="shared" ref="N409:N410" si="309">SUM(K409:M409)</f>
        <v>3.7539999840129177</v>
      </c>
    </row>
    <row r="410" spans="1:14" x14ac:dyDescent="0.2">
      <c r="A410" s="282" t="s">
        <v>354</v>
      </c>
      <c r="B410" s="302">
        <f>SUM(B408:B409)</f>
        <v>105.39200000158507</v>
      </c>
      <c r="C410" s="299" t="str">
        <f>CONCATENATE("(",ROUND((B410/$H410)*100,1),")")</f>
        <v>(43.6)</v>
      </c>
      <c r="D410" s="302">
        <f>SUM(D408:D409)</f>
        <v>114.96299999449656</v>
      </c>
      <c r="E410" s="299" t="str">
        <f>CONCATENATE("(",ROUND((D410/$H410)*100,1),")")</f>
        <v>(47.5)</v>
      </c>
      <c r="F410" s="302">
        <f>SUM(F408:F409)</f>
        <v>21.530999999779549</v>
      </c>
      <c r="G410" s="299" t="str">
        <f>CONCATENATE("(",ROUND((F410/$H410)*100,1),")")</f>
        <v>(8.9)</v>
      </c>
      <c r="H410" s="302">
        <f>SUM(H408:H409)</f>
        <v>241.88599999586117</v>
      </c>
      <c r="I410" s="299" t="str">
        <f>CONCATENATE("(",ROUND((H410/$H410)*100,1),")")</f>
        <v>(100)</v>
      </c>
      <c r="K410" s="302">
        <f t="shared" si="306"/>
        <v>3.3989999873392236</v>
      </c>
      <c r="L410" s="302">
        <f t="shared" si="307"/>
        <v>0.8739999939748202</v>
      </c>
      <c r="M410" s="302">
        <f t="shared" si="308"/>
        <v>0.80700000003384886</v>
      </c>
      <c r="N410" s="302">
        <f t="shared" si="309"/>
        <v>5.0799999813478927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355</v>
      </c>
      <c r="B413" s="302">
        <f>'Ind T6'!Q485</f>
        <v>43.63799999775253</v>
      </c>
      <c r="C413" s="299" t="str">
        <f>CONCATENATE("(",ROUND((B413/$H415)*100,1),")")</f>
        <v>(17.7)</v>
      </c>
      <c r="D413" s="302">
        <f>'Ind T6'!R485</f>
        <v>17.878999999547844</v>
      </c>
      <c r="E413" s="299" t="str">
        <f>CONCATENATE("(",ROUND((D413/$H415)*100,1),")")</f>
        <v>(7.2)</v>
      </c>
      <c r="F413" s="302">
        <f>'Ind T6'!S485</f>
        <v>4.7240000004178615</v>
      </c>
      <c r="G413" s="299" t="str">
        <f>CONCATENATE("(",ROUND((F413/$H415)*100,1),")")</f>
        <v>(1.9)</v>
      </c>
      <c r="H413" s="302">
        <f>SUM(B413,D413,F413)</f>
        <v>66.240999997718234</v>
      </c>
      <c r="I413" s="299" t="str">
        <f>CONCATENATE("(",ROUND((H413/$H415)*100,1),")")</f>
        <v>(26.8)</v>
      </c>
      <c r="K413" s="302">
        <f>B418-B413</f>
        <v>1.6560000005111633</v>
      </c>
      <c r="L413" s="302">
        <f>D418-D413</f>
        <v>1.5709999997274302</v>
      </c>
      <c r="M413" s="302">
        <f>F418-F413</f>
        <v>0.4609999999404284</v>
      </c>
      <c r="N413" s="302">
        <f>SUM(K413:M413)</f>
        <v>3.6880000001790219</v>
      </c>
    </row>
    <row r="414" spans="1:14" x14ac:dyDescent="0.2">
      <c r="A414" s="282" t="s">
        <v>356</v>
      </c>
      <c r="B414" s="302">
        <f>'Ind T6'!Q484</f>
        <v>65.152999991171768</v>
      </c>
      <c r="C414" s="299" t="str">
        <f>CONCATENATE("(",ROUND((B414/$H415)*100,1),")")</f>
        <v>(26.4)</v>
      </c>
      <c r="D414" s="302">
        <f>'Ind T6'!R484</f>
        <v>97.957999988923532</v>
      </c>
      <c r="E414" s="299" t="str">
        <f>CONCATENATE("(",ROUND((D414/$H415)*100,1),")")</f>
        <v>(39.7)</v>
      </c>
      <c r="F414" s="302">
        <f>'Ind T6'!S484</f>
        <v>17.613999999395539</v>
      </c>
      <c r="G414" s="299" t="str">
        <f>CONCATENATE("(",ROUND((F414/$H415)*100,1),")")</f>
        <v>(7.1)</v>
      </c>
      <c r="H414" s="302">
        <f t="shared" ref="H414" si="310">SUM(B414,D414,F414)</f>
        <v>180.72499997949083</v>
      </c>
      <c r="I414" s="299" t="str">
        <f>CONCATENATE("(",ROUND((H414/$H415)*100,1),")")</f>
        <v>(73.2)</v>
      </c>
      <c r="K414" s="302">
        <f t="shared" ref="K414:K415" si="311">B419-B414</f>
        <v>7.4420000107274547</v>
      </c>
      <c r="L414" s="302">
        <f t="shared" ref="L414:L415" si="312">D419-D414</f>
        <v>1.8170000124469681</v>
      </c>
      <c r="M414" s="302">
        <f t="shared" ref="M414:M415" si="313">F419-F414</f>
        <v>1.1680000008801237</v>
      </c>
      <c r="N414" s="302">
        <f t="shared" ref="N414:N415" si="314">SUM(K414:M414)</f>
        <v>10.427000024054546</v>
      </c>
    </row>
    <row r="415" spans="1:14" x14ac:dyDescent="0.2">
      <c r="A415" s="282" t="s">
        <v>354</v>
      </c>
      <c r="B415" s="302">
        <f>SUM(B413:B414)</f>
        <v>108.7909999889243</v>
      </c>
      <c r="C415" s="299" t="str">
        <f>CONCATENATE("(",ROUND((B415/$H415)*100,1),")")</f>
        <v>(44.1)</v>
      </c>
      <c r="D415" s="302">
        <f>SUM(D413:D414)</f>
        <v>115.83699998847138</v>
      </c>
      <c r="E415" s="299" t="str">
        <f>CONCATENATE("(",ROUND((D415/$H415)*100,1),")")</f>
        <v>(46.9)</v>
      </c>
      <c r="F415" s="302">
        <f>SUM(F413:F414)</f>
        <v>22.337999999813398</v>
      </c>
      <c r="G415" s="299" t="str">
        <f>CONCATENATE("(",ROUND((F415/$H415)*100,1),")")</f>
        <v>(9)</v>
      </c>
      <c r="H415" s="302">
        <f>SUM(H413:H414)</f>
        <v>246.96599997720907</v>
      </c>
      <c r="I415" s="299" t="str">
        <f>CONCATENATE("(",ROUND((H415/$H415)*100,1),")")</f>
        <v>(100)</v>
      </c>
      <c r="K415" s="302">
        <f t="shared" si="311"/>
        <v>9.098000011238625</v>
      </c>
      <c r="L415" s="302">
        <f t="shared" si="312"/>
        <v>3.3880000121744018</v>
      </c>
      <c r="M415" s="302">
        <f t="shared" si="313"/>
        <v>1.6290000008205539</v>
      </c>
      <c r="N415" s="302">
        <f t="shared" si="314"/>
        <v>14.115000024233581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355</v>
      </c>
      <c r="B418" s="302">
        <f>'Ind T6'!V485</f>
        <v>45.293999998263693</v>
      </c>
      <c r="C418" s="299" t="str">
        <f>CONCATENATE("(",ROUND((B418/$H420)*100,1),")")</f>
        <v>(17.3)</v>
      </c>
      <c r="D418" s="302">
        <f>'Ind T6'!W485</f>
        <v>19.449999999275274</v>
      </c>
      <c r="E418" s="299" t="str">
        <f>CONCATENATE("(",ROUND((D418/$H420)*100,1),")")</f>
        <v>(7.4)</v>
      </c>
      <c r="F418" s="302">
        <f>'Ind T6'!X485</f>
        <v>5.1850000003582899</v>
      </c>
      <c r="G418" s="299" t="str">
        <f>CONCATENATE("(",ROUND((F418/$H420)*100,1),")")</f>
        <v>(2)</v>
      </c>
      <c r="H418" s="302">
        <f>SUM(B418,D418,F418)</f>
        <v>69.92899999789725</v>
      </c>
      <c r="I418" s="299" t="str">
        <f>CONCATENATE("(",ROUND((H418/$H420)*100,1),")")</f>
        <v>(26.8)</v>
      </c>
      <c r="K418" s="302">
        <f>B418-B408</f>
        <v>2.1269999980928915</v>
      </c>
      <c r="L418" s="302">
        <f>D418-D408</f>
        <v>2.225999999174654</v>
      </c>
      <c r="M418" s="302">
        <f>F418-F408</f>
        <v>0.66100000024644334</v>
      </c>
      <c r="N418" s="302">
        <f>SUM(K418:M418)</f>
        <v>5.0139999975139888</v>
      </c>
    </row>
    <row r="419" spans="1:14" x14ac:dyDescent="0.2">
      <c r="A419" s="282" t="s">
        <v>356</v>
      </c>
      <c r="B419" s="302">
        <f>'Ind T6'!V484</f>
        <v>72.595000001899223</v>
      </c>
      <c r="C419" s="299" t="str">
        <f>CONCATENATE("(",ROUND((B419/$H420)*100,1),")")</f>
        <v>(27.8)</v>
      </c>
      <c r="D419" s="302">
        <f>'Ind T6'!W484</f>
        <v>99.775000001370501</v>
      </c>
      <c r="E419" s="299" t="str">
        <f>CONCATENATE("(",ROUND((D419/$H420)*100,1),")")</f>
        <v>(38.2)</v>
      </c>
      <c r="F419" s="302">
        <f>'Ind T6'!X484</f>
        <v>18.782000000275662</v>
      </c>
      <c r="G419" s="299" t="str">
        <f>CONCATENATE("(",ROUND((F419/$H420)*100,1),")")</f>
        <v>(7.2)</v>
      </c>
      <c r="H419" s="302">
        <f t="shared" ref="H419" si="315">SUM(B419,D419,F419)</f>
        <v>191.1520000035454</v>
      </c>
      <c r="I419" s="299" t="str">
        <f>CONCATENATE("(",ROUND((H419/$H420)*100,1),")")</f>
        <v>(73.2)</v>
      </c>
      <c r="K419" s="302">
        <f t="shared" ref="K419:K420" si="316">B419-B409</f>
        <v>10.370000000484943</v>
      </c>
      <c r="L419" s="302">
        <f t="shared" ref="L419:L420" si="317">D419-D409</f>
        <v>2.036000006974561</v>
      </c>
      <c r="M419" s="302">
        <f t="shared" ref="M419:M420" si="318">F419-F409</f>
        <v>1.7750000006079603</v>
      </c>
      <c r="N419" s="302">
        <f t="shared" ref="N419:N420" si="319">SUM(K419:M419)</f>
        <v>14.181000008067464</v>
      </c>
    </row>
    <row r="420" spans="1:14" x14ac:dyDescent="0.2">
      <c r="A420" s="282" t="s">
        <v>354</v>
      </c>
      <c r="B420" s="302">
        <f>SUM(B418:B419)</f>
        <v>117.88900000016292</v>
      </c>
      <c r="C420" s="299" t="str">
        <f>CONCATENATE("(",ROUND((B420/$H420)*100,1),")")</f>
        <v>(45.2)</v>
      </c>
      <c r="D420" s="302">
        <f>SUM(D418:D419)</f>
        <v>119.22500000064578</v>
      </c>
      <c r="E420" s="299" t="str">
        <f>CONCATENATE("(",ROUND((D420/$H420)*100,1),")")</f>
        <v>(45.7)</v>
      </c>
      <c r="F420" s="302">
        <f>SUM(F418:F419)</f>
        <v>23.967000000633952</v>
      </c>
      <c r="G420" s="299" t="str">
        <f>CONCATENATE("(",ROUND((F420/$H420)*100,1),")")</f>
        <v>(9.2)</v>
      </c>
      <c r="H420" s="302">
        <f>SUM(H418:H419)</f>
        <v>261.08100000144265</v>
      </c>
      <c r="I420" s="299" t="str">
        <f>CONCATENATE("(",ROUND((H420/$H420)*100,1),")")</f>
        <v>(100)</v>
      </c>
      <c r="K420" s="302">
        <f t="shared" si="316"/>
        <v>12.496999998577849</v>
      </c>
      <c r="L420" s="302">
        <f t="shared" si="317"/>
        <v>4.262000006149222</v>
      </c>
      <c r="M420" s="302">
        <f t="shared" si="318"/>
        <v>2.4360000008544027</v>
      </c>
      <c r="N420" s="302">
        <f t="shared" si="319"/>
        <v>19.195000005581473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1"/>
      <c r="E424" s="181"/>
      <c r="G424" s="181"/>
      <c r="I424" s="181"/>
    </row>
    <row r="425" spans="1:14" x14ac:dyDescent="0.2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377</v>
      </c>
    </row>
    <row r="427" spans="1:14" x14ac:dyDescent="0.2">
      <c r="A427" s="181" t="s">
        <v>378</v>
      </c>
      <c r="B427" s="369" t="s">
        <v>376</v>
      </c>
      <c r="C427" s="369"/>
      <c r="D427" s="369" t="s">
        <v>375</v>
      </c>
      <c r="E427" s="369"/>
      <c r="F427" s="369" t="s">
        <v>374</v>
      </c>
      <c r="G427" s="369"/>
      <c r="H427" s="369" t="s">
        <v>32</v>
      </c>
      <c r="I427" s="369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2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355</v>
      </c>
      <c r="B429" s="302">
        <f>'Ind T6'!L510</f>
        <v>48.732999998732041</v>
      </c>
      <c r="C429" s="299" t="str">
        <f>CONCATENATE("(",ROUND((B429/$H431)*100,1),")")</f>
        <v>(13)</v>
      </c>
      <c r="D429" s="302">
        <f>'Ind T6'!M510</f>
        <v>19.766000000037458</v>
      </c>
      <c r="E429" s="299" t="str">
        <f>CONCATENATE("(",ROUND((D429/$H431)*100,1),")")</f>
        <v>(5.3)</v>
      </c>
      <c r="F429" s="302">
        <f>'Ind T6'!N510</f>
        <v>13.566000000090892</v>
      </c>
      <c r="G429" s="299" t="str">
        <f>CONCATENATE("(",ROUND((F429/$H431)*100,1),")")</f>
        <v>(3.6)</v>
      </c>
      <c r="H429" s="302">
        <f>SUM(B429,D429,F429)</f>
        <v>82.064999998860401</v>
      </c>
      <c r="I429" s="299" t="str">
        <f>CONCATENATE("(",ROUND((H429/$H431)*100,1),")")</f>
        <v>(21.9)</v>
      </c>
      <c r="K429" s="302">
        <f>B434-B429</f>
        <v>4.8370000001492031</v>
      </c>
      <c r="L429" s="302">
        <f>D434-D429</f>
        <v>2.2869999999727995</v>
      </c>
      <c r="M429" s="302">
        <f>F434-F429</f>
        <v>0.84700000095130612</v>
      </c>
      <c r="N429" s="302">
        <f>SUM(K429:M429)</f>
        <v>7.9710000010733086</v>
      </c>
    </row>
    <row r="430" spans="1:14" x14ac:dyDescent="0.2">
      <c r="A430" s="282" t="s">
        <v>356</v>
      </c>
      <c r="B430" s="302">
        <f>'Ind T6'!L509</f>
        <v>128.19399999957164</v>
      </c>
      <c r="C430" s="299" t="str">
        <f>CONCATENATE("(",ROUND((B430/$H431)*100,1),")")</f>
        <v>(34.2)</v>
      </c>
      <c r="D430" s="302">
        <f>'Ind T6'!M509</f>
        <v>142.2619999975081</v>
      </c>
      <c r="E430" s="299" t="str">
        <f>CONCATENATE("(",ROUND((D430/$H431)*100,1),")")</f>
        <v>(37.9)</v>
      </c>
      <c r="F430" s="302">
        <f>'Ind T6'!N509</f>
        <v>22.857000001581994</v>
      </c>
      <c r="G430" s="299" t="str">
        <f>CONCATENATE("(",ROUND((F430/$H431)*100,1),")")</f>
        <v>(6.1)</v>
      </c>
      <c r="H430" s="302">
        <f t="shared" ref="H430" si="320">SUM(B430,D430,F430)</f>
        <v>293.31299999866172</v>
      </c>
      <c r="I430" s="299" t="str">
        <f>CONCATENATE("(",ROUND((H430/$H431)*100,1),")")</f>
        <v>(78.1)</v>
      </c>
      <c r="K430" s="302">
        <f t="shared" ref="K430:K431" si="321">B435-B430</f>
        <v>15.718999999101896</v>
      </c>
      <c r="L430" s="302">
        <f t="shared" ref="L430:L431" si="322">D435-D430</f>
        <v>8.5729999981820129</v>
      </c>
      <c r="M430" s="302">
        <f t="shared" ref="M430:M431" si="323">F435-F430</f>
        <v>3.4709999982241229</v>
      </c>
      <c r="N430" s="302">
        <f t="shared" ref="N430:N431" si="324">SUM(K430:M430)</f>
        <v>27.762999995508032</v>
      </c>
    </row>
    <row r="431" spans="1:14" x14ac:dyDescent="0.2">
      <c r="A431" s="282" t="s">
        <v>354</v>
      </c>
      <c r="B431" s="302">
        <f>SUM(B429:B430)</f>
        <v>176.9269999983037</v>
      </c>
      <c r="C431" s="299" t="str">
        <f>CONCATENATE("(",ROUND((B431/$H431)*100,1),")")</f>
        <v>(47.1)</v>
      </c>
      <c r="D431" s="302">
        <f>SUM(D429:D430)</f>
        <v>162.02799999754555</v>
      </c>
      <c r="E431" s="299" t="str">
        <f>CONCATENATE("(",ROUND((D431/$H431)*100,1),")")</f>
        <v>(43.2)</v>
      </c>
      <c r="F431" s="302">
        <f>SUM(F429:F430)</f>
        <v>36.423000001672889</v>
      </c>
      <c r="G431" s="299" t="str">
        <f>CONCATENATE("(",ROUND((F431/$H431)*100,1),")")</f>
        <v>(9.7)</v>
      </c>
      <c r="H431" s="302">
        <f>SUM(H429:H430)</f>
        <v>375.37799999752212</v>
      </c>
      <c r="I431" s="299" t="str">
        <f>CONCATENATE("(",ROUND((H431/$H431)*100,1),")")</f>
        <v>(100)</v>
      </c>
      <c r="K431" s="302">
        <f t="shared" si="321"/>
        <v>20.555999999251071</v>
      </c>
      <c r="L431" s="302">
        <f t="shared" si="322"/>
        <v>10.859999998154819</v>
      </c>
      <c r="M431" s="302">
        <f t="shared" si="323"/>
        <v>4.3179999991754272</v>
      </c>
      <c r="N431" s="302">
        <f t="shared" si="324"/>
        <v>35.733999996581318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355</v>
      </c>
      <c r="B434" s="302">
        <f>'Ind T6'!Q510</f>
        <v>53.569999998881244</v>
      </c>
      <c r="C434" s="299" t="str">
        <f>CONCATENATE("(",ROUND((B434/$H436)*100,1),")")</f>
        <v>(13)</v>
      </c>
      <c r="D434" s="302">
        <f>'Ind T6'!R510</f>
        <v>22.053000000010258</v>
      </c>
      <c r="E434" s="299" t="str">
        <f>CONCATENATE("(",ROUND((D434/$H436)*100,1),")")</f>
        <v>(5.4)</v>
      </c>
      <c r="F434" s="302">
        <f>'Ind T6'!S510</f>
        <v>14.413000001042198</v>
      </c>
      <c r="G434" s="299" t="str">
        <f>CONCATENATE("(",ROUND((F434/$H436)*100,1),")")</f>
        <v>(3.5)</v>
      </c>
      <c r="H434" s="302">
        <f>SUM(B434,D434,F434)</f>
        <v>90.035999999933694</v>
      </c>
      <c r="I434" s="299" t="str">
        <f>CONCATENATE("(",ROUND((H434/$H436)*100,1),")")</f>
        <v>(21.9)</v>
      </c>
      <c r="K434" s="302">
        <f>B439-B434</f>
        <v>7.6409999995090132</v>
      </c>
      <c r="L434" s="302">
        <f>D439-D434</f>
        <v>3.8370000000335907</v>
      </c>
      <c r="M434" s="302">
        <f>F439-F434</f>
        <v>0.76099999960377041</v>
      </c>
      <c r="N434" s="302">
        <f>SUM(K434:M434)</f>
        <v>12.238999999146374</v>
      </c>
    </row>
    <row r="435" spans="1:14" x14ac:dyDescent="0.2">
      <c r="A435" s="282" t="s">
        <v>356</v>
      </c>
      <c r="B435" s="302">
        <f>'Ind T6'!Q509</f>
        <v>143.91299999867354</v>
      </c>
      <c r="C435" s="299" t="str">
        <f>CONCATENATE("(",ROUND((B435/$H436)*100,1),")")</f>
        <v>(35)</v>
      </c>
      <c r="D435" s="302">
        <f>'Ind T6'!R509</f>
        <v>150.83499999569011</v>
      </c>
      <c r="E435" s="299" t="str">
        <f>CONCATENATE("(",ROUND((D435/$H436)*100,1),")")</f>
        <v>(36.7)</v>
      </c>
      <c r="F435" s="302">
        <f>'Ind T6'!S509</f>
        <v>26.327999999806117</v>
      </c>
      <c r="G435" s="299" t="str">
        <f>CONCATENATE("(",ROUND((F435/$H436)*100,1),")")</f>
        <v>(6.4)</v>
      </c>
      <c r="H435" s="302">
        <f t="shared" ref="H435" si="325">SUM(B435,D435,F435)</f>
        <v>321.07599999416982</v>
      </c>
      <c r="I435" s="299" t="str">
        <f>CONCATENATE("(",ROUND((H435/$H436)*100,1),")")</f>
        <v>(78.1)</v>
      </c>
      <c r="K435" s="302">
        <f t="shared" ref="K435:K436" si="326">B440-B435</f>
        <v>26.650000001235327</v>
      </c>
      <c r="L435" s="302">
        <f t="shared" ref="L435:L436" si="327">D440-D435</f>
        <v>8.8050000035670735</v>
      </c>
      <c r="M435" s="302">
        <f t="shared" ref="M435:M436" si="328">F440-F435</f>
        <v>5.9540000002087439</v>
      </c>
      <c r="N435" s="302">
        <f t="shared" ref="N435:N436" si="329">SUM(K435:M435)</f>
        <v>41.409000005011144</v>
      </c>
    </row>
    <row r="436" spans="1:14" x14ac:dyDescent="0.2">
      <c r="A436" s="282" t="s">
        <v>354</v>
      </c>
      <c r="B436" s="302">
        <f>SUM(B434:B435)</f>
        <v>197.48299999755477</v>
      </c>
      <c r="C436" s="299" t="str">
        <f>CONCATENATE("(",ROUND((B436/$H436)*100,1),")")</f>
        <v>(48)</v>
      </c>
      <c r="D436" s="302">
        <f>SUM(D434:D435)</f>
        <v>172.88799999570037</v>
      </c>
      <c r="E436" s="299" t="str">
        <f>CONCATENATE("(",ROUND((D436/$H436)*100,1),")")</f>
        <v>(42.1)</v>
      </c>
      <c r="F436" s="302">
        <f>SUM(F434:F435)</f>
        <v>40.741000000848317</v>
      </c>
      <c r="G436" s="299" t="str">
        <f>CONCATENATE("(",ROUND((F436/$H436)*100,1),")")</f>
        <v>(9.9)</v>
      </c>
      <c r="H436" s="302">
        <f>SUM(H434:H435)</f>
        <v>411.11199999410348</v>
      </c>
      <c r="I436" s="299" t="str">
        <f>CONCATENATE("(",ROUND((H436/$H436)*100,1),")")</f>
        <v>(100)</v>
      </c>
      <c r="K436" s="302">
        <f t="shared" si="326"/>
        <v>34.291000000744361</v>
      </c>
      <c r="L436" s="302">
        <f t="shared" si="327"/>
        <v>12.642000003600657</v>
      </c>
      <c r="M436" s="302">
        <f t="shared" si="328"/>
        <v>6.7149999998125125</v>
      </c>
      <c r="N436" s="302">
        <f t="shared" si="329"/>
        <v>53.648000004157531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355</v>
      </c>
      <c r="B439" s="302">
        <f>'Ind T6'!V510</f>
        <v>61.210999998390257</v>
      </c>
      <c r="C439" s="299" t="str">
        <f>CONCATENATE("(",ROUND((B439/$H441)*100,1),")")</f>
        <v>(13.2)</v>
      </c>
      <c r="D439" s="302">
        <f>'Ind T6'!W510</f>
        <v>25.890000000043848</v>
      </c>
      <c r="E439" s="299" t="str">
        <f>CONCATENATE("(",ROUND((D439/$H441)*100,1),")")</f>
        <v>(5.6)</v>
      </c>
      <c r="F439" s="302">
        <f>'Ind T6'!X510</f>
        <v>15.174000000645968</v>
      </c>
      <c r="G439" s="299" t="str">
        <f>CONCATENATE("(",ROUND((F439/$H441)*100,1),")")</f>
        <v>(3.3)</v>
      </c>
      <c r="H439" s="302">
        <f>SUM(B439,D439,F439)</f>
        <v>102.27499999908008</v>
      </c>
      <c r="I439" s="299" t="str">
        <f>CONCATENATE("(",ROUND((H439/$H441)*100,1),")")</f>
        <v>(22)</v>
      </c>
      <c r="K439" s="302">
        <f>B439-B429</f>
        <v>12.477999999658216</v>
      </c>
      <c r="L439" s="302">
        <f>D439-D429</f>
        <v>6.1240000000063901</v>
      </c>
      <c r="M439" s="302">
        <f>F439-F429</f>
        <v>1.6080000005550765</v>
      </c>
      <c r="N439" s="302">
        <f>SUM(K439:M439)</f>
        <v>20.210000000219683</v>
      </c>
    </row>
    <row r="440" spans="1:14" x14ac:dyDescent="0.2">
      <c r="A440" s="282" t="s">
        <v>356</v>
      </c>
      <c r="B440" s="302">
        <f>'Ind T6'!V509</f>
        <v>170.56299999990887</v>
      </c>
      <c r="C440" s="299" t="str">
        <f>CONCATENATE("(",ROUND((B440/$H441)*100,1),")")</f>
        <v>(36.7)</v>
      </c>
      <c r="D440" s="302">
        <f>'Ind T6'!W509</f>
        <v>159.63999999925718</v>
      </c>
      <c r="E440" s="299" t="str">
        <f>CONCATENATE("(",ROUND((D440/$H441)*100,1),")")</f>
        <v>(34.3)</v>
      </c>
      <c r="F440" s="302">
        <f>'Ind T6'!X509</f>
        <v>32.282000000014861</v>
      </c>
      <c r="G440" s="299" t="str">
        <f>CONCATENATE("(",ROUND((F440/$H441)*100,1),")")</f>
        <v>(6.9)</v>
      </c>
      <c r="H440" s="302">
        <f t="shared" ref="H440" si="330">SUM(B440,D440,F440)</f>
        <v>362.48499999918096</v>
      </c>
      <c r="I440" s="299" t="str">
        <f>CONCATENATE("(",ROUND((H440/$H441)*100,1),")")</f>
        <v>(78)</v>
      </c>
      <c r="K440" s="302">
        <f t="shared" ref="K440:K441" si="331">B440-B430</f>
        <v>42.369000000337223</v>
      </c>
      <c r="L440" s="302">
        <f t="shared" ref="L440:L441" si="332">D440-D430</f>
        <v>17.378000001749086</v>
      </c>
      <c r="M440" s="302">
        <f t="shared" ref="M440:M441" si="333">F440-F430</f>
        <v>9.4249999984328667</v>
      </c>
      <c r="N440" s="302">
        <f t="shared" ref="N440:N441" si="334">SUM(K440:M440)</f>
        <v>69.172000000519176</v>
      </c>
    </row>
    <row r="441" spans="1:14" x14ac:dyDescent="0.2">
      <c r="A441" s="282" t="s">
        <v>354</v>
      </c>
      <c r="B441" s="302">
        <f>SUM(B439:B440)</f>
        <v>231.77399999829913</v>
      </c>
      <c r="C441" s="299" t="str">
        <f>CONCATENATE("(",ROUND((B441/$H441)*100,1),")")</f>
        <v>(49.9)</v>
      </c>
      <c r="D441" s="302">
        <f>SUM(D439:D440)</f>
        <v>185.52999999930103</v>
      </c>
      <c r="E441" s="299" t="str">
        <f>CONCATENATE("(",ROUND((D441/$H441)*100,1),")")</f>
        <v>(39.9)</v>
      </c>
      <c r="F441" s="302">
        <f>SUM(F439:F440)</f>
        <v>47.456000000660829</v>
      </c>
      <c r="G441" s="299" t="str">
        <f>CONCATENATE("(",ROUND((F441/$H441)*100,1),")")</f>
        <v>(10.2)</v>
      </c>
      <c r="H441" s="302">
        <f>SUM(H439:H440)</f>
        <v>464.75999999826104</v>
      </c>
      <c r="I441" s="299" t="str">
        <f>CONCATENATE("(",ROUND((H441/$H441)*100,1),")")</f>
        <v>(100)</v>
      </c>
      <c r="K441" s="302">
        <f t="shared" si="331"/>
        <v>54.846999999995433</v>
      </c>
      <c r="L441" s="302">
        <f t="shared" si="332"/>
        <v>23.502000001755476</v>
      </c>
      <c r="M441" s="302">
        <f t="shared" si="333"/>
        <v>11.03299999898794</v>
      </c>
      <c r="N441" s="302">
        <f t="shared" si="334"/>
        <v>89.382000000738856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377</v>
      </c>
    </row>
    <row r="448" spans="1:14" x14ac:dyDescent="0.2">
      <c r="A448" s="181" t="s">
        <v>378</v>
      </c>
      <c r="B448" s="369" t="s">
        <v>376</v>
      </c>
      <c r="C448" s="369"/>
      <c r="D448" s="369" t="s">
        <v>375</v>
      </c>
      <c r="E448" s="369"/>
      <c r="F448" s="369" t="s">
        <v>374</v>
      </c>
      <c r="G448" s="369"/>
      <c r="H448" s="369" t="s">
        <v>32</v>
      </c>
      <c r="I448" s="369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2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355</v>
      </c>
      <c r="B450" s="302">
        <f>'Ind T6'!L540</f>
        <v>15.020999999974466</v>
      </c>
      <c r="C450" s="299" t="str">
        <f>CONCATENATE("(",ROUND((B450/$H452)*100,1),")")</f>
        <v>(18.3)</v>
      </c>
      <c r="D450" s="302">
        <f>'Ind T6'!M540</f>
        <v>10.533000000087441</v>
      </c>
      <c r="E450" s="299" t="str">
        <f>CONCATENATE("(",ROUND((D450/$H452)*100,1),")")</f>
        <v>(12.8)</v>
      </c>
      <c r="F450" s="302">
        <f>'Ind T6'!N540</f>
        <v>13.310000000293504</v>
      </c>
      <c r="G450" s="299" t="str">
        <f>CONCATENATE("(",ROUND((F450/$H452)*100,1),")")</f>
        <v>(16.2)</v>
      </c>
      <c r="H450" s="302">
        <f>SUM(B450,D450,F450)</f>
        <v>38.864000000355411</v>
      </c>
      <c r="I450" s="299" t="str">
        <f>CONCATENATE("(",ROUND((H450/$H452)*100,1),")")</f>
        <v>(47.2)</v>
      </c>
      <c r="K450" s="302">
        <f>B455-B450</f>
        <v>2.5780000000313716</v>
      </c>
      <c r="L450" s="302">
        <f>D455-D450</f>
        <v>2.1730000000043326</v>
      </c>
      <c r="M450" s="302">
        <f>F455-F450</f>
        <v>2.4100000007407072</v>
      </c>
      <c r="N450" s="302">
        <f>SUM(K450:M450)</f>
        <v>7.1610000007764114</v>
      </c>
    </row>
    <row r="451" spans="1:14" x14ac:dyDescent="0.2">
      <c r="A451" s="282" t="s">
        <v>356</v>
      </c>
      <c r="B451" s="302">
        <f>'Ind T6'!L539</f>
        <v>9.3889999998931568</v>
      </c>
      <c r="C451" s="299" t="str">
        <f>CONCATENATE("(",ROUND((B451/$H452)*100,1),")")</f>
        <v>(11.4)</v>
      </c>
      <c r="D451" s="302">
        <f>'Ind T6'!M539</f>
        <v>19.939000000100762</v>
      </c>
      <c r="E451" s="299" t="str">
        <f>CONCATENATE("(",ROUND((D451/$H452)*100,1),")")</f>
        <v>(24.2)</v>
      </c>
      <c r="F451" s="302">
        <f>'Ind T6'!N539</f>
        <v>14.06799999947089</v>
      </c>
      <c r="G451" s="299" t="str">
        <f>CONCATENATE("(",ROUND((F451/$H452)*100,1),")")</f>
        <v>(17.1)</v>
      </c>
      <c r="H451" s="302">
        <f t="shared" ref="H451" si="335">SUM(B451,D451,F451)</f>
        <v>43.395999999464813</v>
      </c>
      <c r="I451" s="299" t="str">
        <f>CONCATENATE("(",ROUND((H451/$H452)*100,1),")")</f>
        <v>(52.8)</v>
      </c>
      <c r="K451" s="302">
        <f t="shared" ref="K451:K452" si="336">B456-B451</f>
        <v>1.2420000000398179</v>
      </c>
      <c r="L451" s="302">
        <f t="shared" ref="L451:L452" si="337">D456-D451</f>
        <v>3.6220000001589838</v>
      </c>
      <c r="M451" s="302">
        <f t="shared" ref="M451:M452" si="338">F456-F451</f>
        <v>1.9509999999688095</v>
      </c>
      <c r="N451" s="302">
        <f t="shared" ref="N451:N452" si="339">SUM(K451:M451)</f>
        <v>6.8150000001676112</v>
      </c>
    </row>
    <row r="452" spans="1:14" x14ac:dyDescent="0.2">
      <c r="A452" s="282" t="s">
        <v>354</v>
      </c>
      <c r="B452" s="302">
        <f>SUM(B450:B451)</f>
        <v>24.409999999867622</v>
      </c>
      <c r="C452" s="299" t="str">
        <f>CONCATENATE("(",ROUND((B452/$H452)*100,1),")")</f>
        <v>(29.7)</v>
      </c>
      <c r="D452" s="302">
        <f>SUM(D450:D451)</f>
        <v>30.472000000188203</v>
      </c>
      <c r="E452" s="299" t="str">
        <f>CONCATENATE("(",ROUND((D452/$H452)*100,1),")")</f>
        <v>(37)</v>
      </c>
      <c r="F452" s="302">
        <f>SUM(F450:F451)</f>
        <v>27.377999999764395</v>
      </c>
      <c r="G452" s="299" t="str">
        <f>CONCATENATE("(",ROUND((F452/$H452)*100,1),")")</f>
        <v>(33.3)</v>
      </c>
      <c r="H452" s="302">
        <f>SUM(H450:H451)</f>
        <v>82.259999999820224</v>
      </c>
      <c r="I452" s="299" t="str">
        <f>CONCATENATE("(",ROUND((H452/$H452)*100,1),")")</f>
        <v>(100)</v>
      </c>
      <c r="K452" s="302">
        <f t="shared" si="336"/>
        <v>3.8200000000711896</v>
      </c>
      <c r="L452" s="302">
        <f t="shared" si="337"/>
        <v>5.7950000001633128</v>
      </c>
      <c r="M452" s="302">
        <f t="shared" si="338"/>
        <v>4.3610000007095167</v>
      </c>
      <c r="N452" s="302">
        <f t="shared" si="339"/>
        <v>13.976000000944019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355</v>
      </c>
      <c r="B455" s="302">
        <f>'Ind T6'!Q540</f>
        <v>17.599000000005837</v>
      </c>
      <c r="C455" s="299" t="str">
        <f>CONCATENATE("(",ROUND((B455/$H457)*100,1),")")</f>
        <v>(18.3)</v>
      </c>
      <c r="D455" s="302">
        <f>'Ind T6'!R540</f>
        <v>12.706000000091773</v>
      </c>
      <c r="E455" s="299" t="str">
        <f>CONCATENATE("(",ROUND((D455/$H457)*100,1),")")</f>
        <v>(13.2)</v>
      </c>
      <c r="F455" s="302">
        <f>'Ind T6'!S540</f>
        <v>15.720000001034212</v>
      </c>
      <c r="G455" s="299" t="str">
        <f>CONCATENATE("(",ROUND((F455/$H457)*100,1),")")</f>
        <v>(16.3)</v>
      </c>
      <c r="H455" s="302">
        <f>SUM(B455,D455,F455)</f>
        <v>46.025000001131822</v>
      </c>
      <c r="I455" s="299" t="str">
        <f>CONCATENATE("(",ROUND((H455/$H457)*100,1),")")</f>
        <v>(47.8)</v>
      </c>
      <c r="K455" s="302">
        <f>B460-B455</f>
        <v>2.6369999999654823</v>
      </c>
      <c r="L455" s="302">
        <f>D460-D455</f>
        <v>2.5010000000858579</v>
      </c>
      <c r="M455" s="302">
        <f>F460-F455</f>
        <v>2.991999999892748</v>
      </c>
      <c r="N455" s="302">
        <f>SUM(K455:M455)</f>
        <v>8.1299999999440882</v>
      </c>
    </row>
    <row r="456" spans="1:14" x14ac:dyDescent="0.2">
      <c r="A456" s="282" t="s">
        <v>356</v>
      </c>
      <c r="B456" s="302">
        <f>'Ind T6'!Q539</f>
        <v>10.630999999932975</v>
      </c>
      <c r="C456" s="299" t="str">
        <f>CONCATENATE("(",ROUND((B456/$H457)*100,1),")")</f>
        <v>(11)</v>
      </c>
      <c r="D456" s="302">
        <f>'Ind T6'!R539</f>
        <v>23.561000000259746</v>
      </c>
      <c r="E456" s="299" t="str">
        <f>CONCATENATE("(",ROUND((D456/$H457)*100,1),")")</f>
        <v>(24.5)</v>
      </c>
      <c r="F456" s="302">
        <f>'Ind T6'!S539</f>
        <v>16.0189999994397</v>
      </c>
      <c r="G456" s="299" t="str">
        <f>CONCATENATE("(",ROUND((F456/$H457)*100,1),")")</f>
        <v>(16.6)</v>
      </c>
      <c r="H456" s="302">
        <f t="shared" ref="H456" si="340">SUM(B456,D456,F456)</f>
        <v>50.210999999632421</v>
      </c>
      <c r="I456" s="299" t="str">
        <f>CONCATENATE("(",ROUND((H456/$H457)*100,1),")")</f>
        <v>(52.2)</v>
      </c>
      <c r="K456" s="302">
        <f t="shared" ref="K456:K457" si="341">B461-B456</f>
        <v>0.74900000015571599</v>
      </c>
      <c r="L456" s="302">
        <f t="shared" ref="L456:L457" si="342">D461-D456</f>
        <v>3.2869999996378141</v>
      </c>
      <c r="M456" s="302">
        <f t="shared" ref="M456:M457" si="343">F461-F456</f>
        <v>2.4950000008574875</v>
      </c>
      <c r="N456" s="302">
        <f t="shared" ref="N456:N457" si="344">SUM(K456:M456)</f>
        <v>6.5310000006510176</v>
      </c>
    </row>
    <row r="457" spans="1:14" x14ac:dyDescent="0.2">
      <c r="A457" s="282" t="s">
        <v>354</v>
      </c>
      <c r="B457" s="302">
        <f>SUM(B455:B456)</f>
        <v>28.229999999938812</v>
      </c>
      <c r="C457" s="299" t="str">
        <f>CONCATENATE("(",ROUND((B457/$H457)*100,1),")")</f>
        <v>(29.3)</v>
      </c>
      <c r="D457" s="302">
        <f>SUM(D455:D456)</f>
        <v>36.267000000351516</v>
      </c>
      <c r="E457" s="299" t="str">
        <f>CONCATENATE("(",ROUND((D457/$H457)*100,1),")")</f>
        <v>(37.7)</v>
      </c>
      <c r="F457" s="302">
        <f>SUM(F455:F456)</f>
        <v>31.739000000473911</v>
      </c>
      <c r="G457" s="299" t="str">
        <f>CONCATENATE("(",ROUND((F457/$H457)*100,1),")")</f>
        <v>(33)</v>
      </c>
      <c r="H457" s="302">
        <f>SUM(H455:H456)</f>
        <v>96.23600000076425</v>
      </c>
      <c r="I457" s="299" t="str">
        <f>CONCATENATE("(",ROUND((H457/$H457)*100,1),")")</f>
        <v>(100)</v>
      </c>
      <c r="K457" s="302">
        <f t="shared" si="341"/>
        <v>3.3860000001212001</v>
      </c>
      <c r="L457" s="302">
        <f t="shared" si="342"/>
        <v>5.7879999997236737</v>
      </c>
      <c r="M457" s="302">
        <f t="shared" si="343"/>
        <v>5.4870000007502391</v>
      </c>
      <c r="N457" s="302">
        <f t="shared" si="344"/>
        <v>14.661000000595113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355</v>
      </c>
      <c r="B460" s="302">
        <f>'Ind T6'!V540</f>
        <v>20.23599999997132</v>
      </c>
      <c r="C460" s="299" t="str">
        <f>CONCATENATE("(",ROUND((B460/$H462)*100,1),")")</f>
        <v>(18.2)</v>
      </c>
      <c r="D460" s="302">
        <f>'Ind T6'!W540</f>
        <v>15.207000000177631</v>
      </c>
      <c r="E460" s="299" t="str">
        <f>CONCATENATE("(",ROUND((D460/$H462)*100,1),")")</f>
        <v>(13.7)</v>
      </c>
      <c r="F460" s="302">
        <f>'Ind T6'!X540</f>
        <v>18.71200000092696</v>
      </c>
      <c r="G460" s="299" t="str">
        <f>CONCATENATE("(",ROUND((F460/$H462)*100,1),")")</f>
        <v>(16.9)</v>
      </c>
      <c r="H460" s="302">
        <f>SUM(B460,D460,F460)</f>
        <v>54.155000001075905</v>
      </c>
      <c r="I460" s="299" t="str">
        <f>CONCATENATE("(",ROUND((H460/$H462)*100,1),")")</f>
        <v>(48.8)</v>
      </c>
      <c r="K460" s="302">
        <f>B460-B450</f>
        <v>5.2149999999968539</v>
      </c>
      <c r="L460" s="302">
        <f>D460-D450</f>
        <v>4.6740000000901905</v>
      </c>
      <c r="M460" s="302">
        <f>F460-F450</f>
        <v>5.4020000006334552</v>
      </c>
      <c r="N460" s="302">
        <f>SUM(K460:M460)</f>
        <v>15.2910000007205</v>
      </c>
    </row>
    <row r="461" spans="1:14" x14ac:dyDescent="0.2">
      <c r="A461" s="282" t="s">
        <v>356</v>
      </c>
      <c r="B461" s="302">
        <f>'Ind T6'!V539</f>
        <v>11.380000000088691</v>
      </c>
      <c r="C461" s="299" t="str">
        <f>CONCATENATE("(",ROUND((B461/$H462)*100,1),")")</f>
        <v>(10.3)</v>
      </c>
      <c r="D461" s="302">
        <f>'Ind T6'!W539</f>
        <v>26.84799999989756</v>
      </c>
      <c r="E461" s="299" t="str">
        <f>CONCATENATE("(",ROUND((D461/$H462)*100,1),")")</f>
        <v>(24.2)</v>
      </c>
      <c r="F461" s="302">
        <f>'Ind T6'!X539</f>
        <v>18.514000000297187</v>
      </c>
      <c r="G461" s="299" t="str">
        <f>CONCATENATE("(",ROUND((F461/$H462)*100,1),")")</f>
        <v>(16.7)</v>
      </c>
      <c r="H461" s="302">
        <f t="shared" ref="H461" si="345">SUM(B461,D461,F461)</f>
        <v>56.74200000028344</v>
      </c>
      <c r="I461" s="299" t="str">
        <f>CONCATENATE("(",ROUND((H461/$H462)*100,1),")")</f>
        <v>(51.2)</v>
      </c>
      <c r="K461" s="302">
        <f t="shared" ref="K461:K462" si="346">B461-B451</f>
        <v>1.9910000001955339</v>
      </c>
      <c r="L461" s="302">
        <f t="shared" ref="L461:L462" si="347">D461-D451</f>
        <v>6.9089999997967979</v>
      </c>
      <c r="M461" s="302">
        <f t="shared" ref="M461:M462" si="348">F461-F451</f>
        <v>4.446000000826297</v>
      </c>
      <c r="N461" s="302">
        <f t="shared" ref="N461:N462" si="349">SUM(K461:M461)</f>
        <v>13.346000000818629</v>
      </c>
    </row>
    <row r="462" spans="1:14" x14ac:dyDescent="0.2">
      <c r="A462" s="282" t="s">
        <v>354</v>
      </c>
      <c r="B462" s="302">
        <f>SUM(B460:B461)</f>
        <v>31.616000000060012</v>
      </c>
      <c r="C462" s="299" t="str">
        <f>CONCATENATE("(",ROUND((B462/$H462)*100,1),")")</f>
        <v>(28.5)</v>
      </c>
      <c r="D462" s="302">
        <f>SUM(D460:D461)</f>
        <v>42.055000000075189</v>
      </c>
      <c r="E462" s="299" t="str">
        <f>CONCATENATE("(",ROUND((D462/$H462)*100,1),")")</f>
        <v>(37.9)</v>
      </c>
      <c r="F462" s="302">
        <f>SUM(F460:F461)</f>
        <v>37.226000001224151</v>
      </c>
      <c r="G462" s="299" t="str">
        <f>CONCATENATE("(",ROUND((F462/$H462)*100,1),")")</f>
        <v>(33.6)</v>
      </c>
      <c r="H462" s="302">
        <f>SUM(H460:H461)</f>
        <v>110.89700000135934</v>
      </c>
      <c r="I462" s="299" t="str">
        <f>CONCATENATE("(",ROUND((H462/$H462)*100,1),")")</f>
        <v>(100)</v>
      </c>
      <c r="K462" s="302">
        <f t="shared" si="346"/>
        <v>7.2060000001923896</v>
      </c>
      <c r="L462" s="302">
        <f t="shared" si="347"/>
        <v>11.582999999886987</v>
      </c>
      <c r="M462" s="302">
        <f t="shared" si="348"/>
        <v>9.8480000014597557</v>
      </c>
      <c r="N462" s="302">
        <f t="shared" si="349"/>
        <v>28.637000001539132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1"/>
      <c r="E466" s="181"/>
      <c r="G466" s="181"/>
      <c r="I466" s="181"/>
    </row>
    <row r="467" spans="1:14" x14ac:dyDescent="0.2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377</v>
      </c>
    </row>
    <row r="469" spans="1:14" x14ac:dyDescent="0.2">
      <c r="A469" s="181" t="s">
        <v>378</v>
      </c>
      <c r="B469" s="369" t="s">
        <v>376</v>
      </c>
      <c r="C469" s="369"/>
      <c r="D469" s="369" t="s">
        <v>375</v>
      </c>
      <c r="E469" s="369"/>
      <c r="F469" s="369" t="s">
        <v>374</v>
      </c>
      <c r="G469" s="369"/>
      <c r="H469" s="369" t="s">
        <v>32</v>
      </c>
      <c r="I469" s="369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2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355</v>
      </c>
      <c r="B471" s="302">
        <f>'Ind T6'!L565</f>
        <v>13.9869999998848</v>
      </c>
      <c r="C471" s="299" t="str">
        <f>CONCATENATE("(",ROUND((B471/$H473)*100,1),")")</f>
        <v>(18)</v>
      </c>
      <c r="D471" s="302">
        <f>'Ind T6'!M565</f>
        <v>6.136000000038794</v>
      </c>
      <c r="E471" s="299" t="str">
        <f>CONCATENATE("(",ROUND((D471/$H473)*100,1),")")</f>
        <v>(7.9)</v>
      </c>
      <c r="F471" s="302">
        <f>'Ind T6'!N565</f>
        <v>9.670000000127537</v>
      </c>
      <c r="G471" s="299" t="str">
        <f>CONCATENATE("(",ROUND((F471/$H473)*100,1),")")</f>
        <v>(12.5)</v>
      </c>
      <c r="H471" s="302">
        <f>SUM(B471,D471,F471)</f>
        <v>29.79300000005113</v>
      </c>
      <c r="I471" s="299" t="str">
        <f>CONCATENATE("(",ROUND((H471/$H473)*100,1),")")</f>
        <v>(38.4)</v>
      </c>
      <c r="K471" s="302">
        <f>B476-B471</f>
        <v>0.95700000005311203</v>
      </c>
      <c r="L471" s="302">
        <f>D476-D471</f>
        <v>0.18999999998480366</v>
      </c>
      <c r="M471" s="302">
        <f>F476-F471</f>
        <v>0.65000000021209203</v>
      </c>
      <c r="N471" s="302">
        <f>SUM(K471:M471)</f>
        <v>1.7970000002500077</v>
      </c>
    </row>
    <row r="472" spans="1:14" x14ac:dyDescent="0.2">
      <c r="A472" s="282" t="s">
        <v>356</v>
      </c>
      <c r="B472" s="302">
        <f>'Ind T6'!L564</f>
        <v>13.375999999918182</v>
      </c>
      <c r="C472" s="299" t="str">
        <f>CONCATENATE("(",ROUND((B472/$H473)*100,1),")")</f>
        <v>(17.2)</v>
      </c>
      <c r="D472" s="302">
        <f>'Ind T6'!M564</f>
        <v>14.986000000119585</v>
      </c>
      <c r="E472" s="299" t="str">
        <f>CONCATENATE("(",ROUND((D472/$H473)*100,1),")")</f>
        <v>(19.3)</v>
      </c>
      <c r="F472" s="302">
        <f>'Ind T6'!N564</f>
        <v>19.468999999528421</v>
      </c>
      <c r="G472" s="299" t="str">
        <f>CONCATENATE("(",ROUND((F472/$H473)*100,1),")")</f>
        <v>(25.1)</v>
      </c>
      <c r="H472" s="302">
        <f t="shared" ref="H472" si="350">SUM(B472,D472,F472)</f>
        <v>47.830999999566188</v>
      </c>
      <c r="I472" s="299" t="str">
        <f>CONCATENATE("(",ROUND((H472/$H473)*100,1),")")</f>
        <v>(61.6)</v>
      </c>
      <c r="K472" s="302">
        <f t="shared" ref="K472:K473" si="351">B477-B472</f>
        <v>3.000000025339844E-2</v>
      </c>
      <c r="L472" s="302">
        <f t="shared" ref="L472:L473" si="352">D477-D472</f>
        <v>0.29600000013832073</v>
      </c>
      <c r="M472" s="302">
        <f t="shared" ref="M472:M473" si="353">F477-F472</f>
        <v>0.7330000002974657</v>
      </c>
      <c r="N472" s="302">
        <f t="shared" ref="N472:N473" si="354">SUM(K472:M472)</f>
        <v>1.0590000006891849</v>
      </c>
    </row>
    <row r="473" spans="1:14" x14ac:dyDescent="0.2">
      <c r="A473" s="282" t="s">
        <v>354</v>
      </c>
      <c r="B473" s="302">
        <f>SUM(B471:B472)</f>
        <v>27.36299999980298</v>
      </c>
      <c r="C473" s="299" t="str">
        <f>CONCATENATE("(",ROUND((B473/$H473)*100,1),")")</f>
        <v>(35.3)</v>
      </c>
      <c r="D473" s="302">
        <f>SUM(D471:D472)</f>
        <v>21.12200000015838</v>
      </c>
      <c r="E473" s="299" t="str">
        <f>CONCATENATE("(",ROUND((D473/$H473)*100,1),")")</f>
        <v>(27.2)</v>
      </c>
      <c r="F473" s="302">
        <f>SUM(F471:F472)</f>
        <v>29.138999999655958</v>
      </c>
      <c r="G473" s="299" t="str">
        <f>CONCATENATE("(",ROUND((F473/$H473)*100,1),")")</f>
        <v>(37.5)</v>
      </c>
      <c r="H473" s="302">
        <f>SUM(H471:H472)</f>
        <v>77.623999999617325</v>
      </c>
      <c r="I473" s="299" t="str">
        <f>CONCATENATE("(",ROUND((H473/$H473)*100,1),")")</f>
        <v>(100)</v>
      </c>
      <c r="K473" s="302">
        <f t="shared" si="351"/>
        <v>0.98700000030651225</v>
      </c>
      <c r="L473" s="302">
        <f t="shared" si="352"/>
        <v>0.4860000001231235</v>
      </c>
      <c r="M473" s="302">
        <f t="shared" si="353"/>
        <v>1.3830000005095577</v>
      </c>
      <c r="N473" s="302">
        <f t="shared" si="354"/>
        <v>2.8560000009391935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355</v>
      </c>
      <c r="B476" s="302">
        <f>'Ind T6'!Q565</f>
        <v>14.943999999937912</v>
      </c>
      <c r="C476" s="299" t="str">
        <f>CONCATENATE("(",ROUND((B476/$H478)*100,1),")")</f>
        <v>(18.6)</v>
      </c>
      <c r="D476" s="302">
        <f>'Ind T6'!R565</f>
        <v>6.3260000000235976</v>
      </c>
      <c r="E476" s="299" t="str">
        <f>CONCATENATE("(",ROUND((D476/$H478)*100,1),")")</f>
        <v>(7.9)</v>
      </c>
      <c r="F476" s="302">
        <f>'Ind T6'!S565</f>
        <v>10.320000000339629</v>
      </c>
      <c r="G476" s="299" t="str">
        <f>CONCATENATE("(",ROUND((F476/$H478)*100,1),")")</f>
        <v>(12.8)</v>
      </c>
      <c r="H476" s="302">
        <f>SUM(B476,D476,F476)</f>
        <v>31.590000000301139</v>
      </c>
      <c r="I476" s="299" t="str">
        <f>CONCATENATE("(",ROUND((H476/$H478)*100,1),")")</f>
        <v>(39.3)</v>
      </c>
      <c r="K476" s="302">
        <f>B481-B476</f>
        <v>1.1599999999803963</v>
      </c>
      <c r="L476" s="302">
        <f>D481-D476</f>
        <v>0.20100000001089224</v>
      </c>
      <c r="M476" s="302">
        <f>F481-F476</f>
        <v>0.75399999992492184</v>
      </c>
      <c r="N476" s="302">
        <f>SUM(K476:M476)</f>
        <v>2.1149999999162103</v>
      </c>
    </row>
    <row r="477" spans="1:14" x14ac:dyDescent="0.2">
      <c r="A477" s="282" t="s">
        <v>356</v>
      </c>
      <c r="B477" s="302">
        <f>'Ind T6'!Q564</f>
        <v>13.406000000171581</v>
      </c>
      <c r="C477" s="299" t="str">
        <f>CONCATENATE("(",ROUND((B477/$H478)*100,1),")")</f>
        <v>(16.7)</v>
      </c>
      <c r="D477" s="302">
        <f>'Ind T6'!R564</f>
        <v>15.282000000257906</v>
      </c>
      <c r="E477" s="299" t="str">
        <f>CONCATENATE("(",ROUND((D477/$H478)*100,1),")")</f>
        <v>(19)</v>
      </c>
      <c r="F477" s="302">
        <f>'Ind T6'!S564</f>
        <v>20.201999999825887</v>
      </c>
      <c r="G477" s="299" t="str">
        <f>CONCATENATE("(",ROUND((F477/$H478)*100,1),")")</f>
        <v>(25.1)</v>
      </c>
      <c r="H477" s="302">
        <f t="shared" ref="H477" si="355">SUM(B477,D477,F477)</f>
        <v>48.89000000025537</v>
      </c>
      <c r="I477" s="299" t="str">
        <f>CONCATENATE("(",ROUND((H477/$H478)*100,1),")")</f>
        <v>(60.7)</v>
      </c>
      <c r="K477" s="302">
        <f t="shared" ref="K477:K478" si="356">B482-B477</f>
        <v>-0.24400000017944201</v>
      </c>
      <c r="L477" s="302">
        <f t="shared" ref="L477:L478" si="357">D482-D477</f>
        <v>-6.7000000320936337E-2</v>
      </c>
      <c r="M477" s="302">
        <f t="shared" ref="M477:M478" si="358">F482-F477</f>
        <v>0.25100000021040714</v>
      </c>
      <c r="N477" s="302">
        <f t="shared" ref="N477:N478" si="359">SUM(K477:M477)</f>
        <v>-6.0000000289971211E-2</v>
      </c>
    </row>
    <row r="478" spans="1:14" x14ac:dyDescent="0.2">
      <c r="A478" s="282" t="s">
        <v>354</v>
      </c>
      <c r="B478" s="302">
        <f>SUM(B476:B477)</f>
        <v>28.350000000109493</v>
      </c>
      <c r="C478" s="299" t="str">
        <f>CONCATENATE("(",ROUND((B478/$H478)*100,1),")")</f>
        <v>(35.2)</v>
      </c>
      <c r="D478" s="302">
        <f>SUM(D476:D477)</f>
        <v>21.608000000281503</v>
      </c>
      <c r="E478" s="299" t="str">
        <f>CONCATENATE("(",ROUND((D478/$H478)*100,1),")")</f>
        <v>(26.8)</v>
      </c>
      <c r="F478" s="302">
        <f>SUM(F476:F477)</f>
        <v>30.522000000165516</v>
      </c>
      <c r="G478" s="299" t="str">
        <f>CONCATENATE("(",ROUND((F478/$H478)*100,1),")")</f>
        <v>(37.9)</v>
      </c>
      <c r="H478" s="302">
        <f>SUM(H476:H477)</f>
        <v>80.480000000556515</v>
      </c>
      <c r="I478" s="299" t="str">
        <f>CONCATENATE("(",ROUND((H478/$H478)*100,1),")")</f>
        <v>(100)</v>
      </c>
      <c r="K478" s="302">
        <f t="shared" si="356"/>
        <v>0.91599999980095603</v>
      </c>
      <c r="L478" s="302">
        <f t="shared" si="357"/>
        <v>0.13399999968995502</v>
      </c>
      <c r="M478" s="302">
        <f t="shared" si="358"/>
        <v>1.005000000135329</v>
      </c>
      <c r="N478" s="302">
        <f t="shared" si="359"/>
        <v>2.05499999962624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355</v>
      </c>
      <c r="B481" s="302">
        <f>'Ind T6'!V565</f>
        <v>16.103999999918308</v>
      </c>
      <c r="C481" s="299" t="str">
        <f>CONCATENATE("(",ROUND((B481/$H483)*100,1),")")</f>
        <v>(19.5)</v>
      </c>
      <c r="D481" s="302">
        <f>'Ind T6'!W565</f>
        <v>6.5270000000344899</v>
      </c>
      <c r="E481" s="299" t="str">
        <f>CONCATENATE("(",ROUND((D481/$H483)*100,1),")")</f>
        <v>(7.9)</v>
      </c>
      <c r="F481" s="302">
        <f>'Ind T6'!X565</f>
        <v>11.074000000264551</v>
      </c>
      <c r="G481" s="299" t="str">
        <f>CONCATENATE("(",ROUND((F481/$H483)*100,1),")")</f>
        <v>(13.4)</v>
      </c>
      <c r="H481" s="302">
        <f>SUM(B481,D481,F481)</f>
        <v>33.705000000217353</v>
      </c>
      <c r="I481" s="299" t="str">
        <f>CONCATENATE("(",ROUND((H481/$H483)*100,1),")")</f>
        <v>(40.8)</v>
      </c>
      <c r="K481" s="302">
        <f>B481-B471</f>
        <v>2.1170000000335083</v>
      </c>
      <c r="L481" s="302">
        <f>D481-D471</f>
        <v>0.3909999999956959</v>
      </c>
      <c r="M481" s="302">
        <f>F481-F471</f>
        <v>1.4040000001370139</v>
      </c>
      <c r="N481" s="302">
        <f>SUM(K481:M481)</f>
        <v>3.9120000001662181</v>
      </c>
    </row>
    <row r="482" spans="1:14" x14ac:dyDescent="0.2">
      <c r="A482" s="282" t="s">
        <v>356</v>
      </c>
      <c r="B482" s="302">
        <f>'Ind T6'!V564</f>
        <v>13.161999999992139</v>
      </c>
      <c r="C482" s="299" t="str">
        <f>CONCATENATE("(",ROUND((B482/$H483)*100,1),")")</f>
        <v>(15.9)</v>
      </c>
      <c r="D482" s="302">
        <f>'Ind T6'!W564</f>
        <v>15.214999999936969</v>
      </c>
      <c r="E482" s="299" t="str">
        <f>CONCATENATE("(",ROUND((D482/$H483)*100,1),")")</f>
        <v>(18.4)</v>
      </c>
      <c r="F482" s="302">
        <f>'Ind T6'!X564</f>
        <v>20.453000000036294</v>
      </c>
      <c r="G482" s="299" t="str">
        <f>CONCATENATE("(",ROUND((F482/$H483)*100,1),")")</f>
        <v>(24.8)</v>
      </c>
      <c r="H482" s="302">
        <f t="shared" ref="H482" si="360">SUM(B482,D482,F482)</f>
        <v>48.829999999965402</v>
      </c>
      <c r="I482" s="299" t="str">
        <f>CONCATENATE("(",ROUND((H482/$H483)*100,1),")")</f>
        <v>(59.2)</v>
      </c>
      <c r="K482" s="302">
        <f t="shared" ref="K482:K483" si="361">B482-B472</f>
        <v>-0.21399999992604357</v>
      </c>
      <c r="L482" s="302">
        <f t="shared" ref="L482:L483" si="362">D482-D472</f>
        <v>0.22899999981738439</v>
      </c>
      <c r="M482" s="302">
        <f t="shared" ref="M482:M483" si="363">F482-F472</f>
        <v>0.98400000050787284</v>
      </c>
      <c r="N482" s="302">
        <f t="shared" ref="N482:N483" si="364">SUM(K482:M482)</f>
        <v>0.99900000039921366</v>
      </c>
    </row>
    <row r="483" spans="1:14" x14ac:dyDescent="0.2">
      <c r="A483" s="282" t="s">
        <v>354</v>
      </c>
      <c r="B483" s="302">
        <f>SUM(B481:B482)</f>
        <v>29.265999999910449</v>
      </c>
      <c r="C483" s="299" t="str">
        <f>CONCATENATE("(",ROUND((B483/$H483)*100,1),")")</f>
        <v>(35.5)</v>
      </c>
      <c r="D483" s="302">
        <f>SUM(D481:D482)</f>
        <v>21.741999999971458</v>
      </c>
      <c r="E483" s="299" t="str">
        <f>CONCATENATE("(",ROUND((D483/$H483)*100,1),")")</f>
        <v>(26.3)</v>
      </c>
      <c r="F483" s="302">
        <f>SUM(F481:F482)</f>
        <v>31.527000000300845</v>
      </c>
      <c r="G483" s="299" t="str">
        <f>CONCATENATE("(",ROUND((F483/$H483)*100,1),")")</f>
        <v>(38.2)</v>
      </c>
      <c r="H483" s="302">
        <f>SUM(H481:H482)</f>
        <v>82.535000000182748</v>
      </c>
      <c r="I483" s="299" t="str">
        <f>CONCATENATE("(",ROUND((H483/$H483)*100,1),")")</f>
        <v>(100)</v>
      </c>
      <c r="K483" s="302">
        <f t="shared" si="361"/>
        <v>1.9030000001074683</v>
      </c>
      <c r="L483" s="302">
        <f t="shared" si="362"/>
        <v>0.61999999981307852</v>
      </c>
      <c r="M483" s="302">
        <f t="shared" si="363"/>
        <v>2.3880000006448867</v>
      </c>
      <c r="N483" s="302">
        <f t="shared" si="364"/>
        <v>4.9110000005654335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2">
      <c r="N489" s="287"/>
    </row>
    <row r="490" spans="1:14" x14ac:dyDescent="0.2">
      <c r="A490" s="181"/>
      <c r="B490" s="369"/>
      <c r="C490" s="369"/>
      <c r="D490" s="369"/>
      <c r="E490" s="369"/>
      <c r="F490" s="369"/>
      <c r="G490" s="369"/>
      <c r="H490" s="369"/>
      <c r="I490" s="369"/>
      <c r="J490" s="181"/>
      <c r="K490" s="287"/>
      <c r="L490" s="287"/>
      <c r="M490" s="287"/>
      <c r="N490" s="287"/>
    </row>
    <row r="491" spans="1:14" x14ac:dyDescent="0.2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2">
      <c r="N510" s="287"/>
    </row>
    <row r="511" spans="1:14" x14ac:dyDescent="0.2">
      <c r="A511" s="181"/>
      <c r="B511" s="369"/>
      <c r="C511" s="369"/>
      <c r="D511" s="369"/>
      <c r="E511" s="369"/>
      <c r="F511" s="369"/>
      <c r="G511" s="369"/>
      <c r="H511" s="369"/>
      <c r="I511" s="369"/>
      <c r="J511" s="181"/>
      <c r="K511" s="287"/>
      <c r="L511" s="287"/>
      <c r="M511" s="287"/>
      <c r="N511" s="287"/>
    </row>
    <row r="512" spans="1:14" x14ac:dyDescent="0.2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2">
      <c r="N531" s="287"/>
    </row>
    <row r="532" spans="1:14" x14ac:dyDescent="0.2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2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1"/>
      <c r="E557" s="181"/>
      <c r="G557" s="181"/>
      <c r="I557" s="181"/>
    </row>
    <row r="558" spans="1:9" x14ac:dyDescent="0.2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2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2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2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2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2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2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2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2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2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2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2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2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2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2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2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2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2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2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2">
      <c r="A577" s="181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40.71093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8" t="str">
        <f>CONCATENATE("Industry Table 6  Employment status by Industry (SIC 2007) and Gender, ",B$5,"-",V$5,", ",Info!B5)</f>
        <v>Industry Table 6  Employment status by Industry (SIC 2007) and Gender, 2015-2035, South West</v>
      </c>
    </row>
    <row r="2" spans="1:25" x14ac:dyDescent="0.2">
      <c r="A2" s="1" t="s">
        <v>533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5" x14ac:dyDescent="0.25">
      <c r="A5" s="265" t="str">
        <f>"Industry 1 : "&amp; name!B4</f>
        <v>Industry 1 : Agriculture</v>
      </c>
      <c r="B5" s="371">
        <v>2015</v>
      </c>
      <c r="C5" s="371"/>
      <c r="D5" s="371"/>
      <c r="E5" s="371"/>
      <c r="F5" s="317"/>
      <c r="G5" s="371">
        <v>2019</v>
      </c>
      <c r="H5" s="371"/>
      <c r="I5" s="371"/>
      <c r="J5" s="371"/>
      <c r="K5" s="318"/>
      <c r="L5" s="371">
        <v>2020</v>
      </c>
      <c r="M5" s="371"/>
      <c r="N5" s="371"/>
      <c r="O5" s="371"/>
      <c r="P5" s="318"/>
      <c r="Q5" s="371">
        <v>2025</v>
      </c>
      <c r="R5" s="371"/>
      <c r="S5" s="371"/>
      <c r="T5" s="371"/>
      <c r="U5" s="317"/>
      <c r="V5" s="371">
        <v>2035</v>
      </c>
      <c r="W5" s="371"/>
      <c r="X5" s="371"/>
      <c r="Y5" s="371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1" t="str">
        <f>name!A4</f>
        <v>Agriculture, etc</v>
      </c>
      <c r="C8" s="263"/>
    </row>
    <row r="9" spans="1:25" x14ac:dyDescent="0.2">
      <c r="A9" s="260" t="s">
        <v>356</v>
      </c>
      <c r="B9" s="300">
        <v>4.6139999999474428</v>
      </c>
      <c r="C9" s="300">
        <v>3.114999999995419</v>
      </c>
      <c r="D9" s="300">
        <v>4.4699999999902102</v>
      </c>
      <c r="E9" s="300">
        <f>SUM(B9:D9)</f>
        <v>12.198999999933072</v>
      </c>
      <c r="F9" s="300"/>
      <c r="G9" s="300">
        <v>5.7140000000092988</v>
      </c>
      <c r="H9" s="300">
        <v>5.5250000000883936</v>
      </c>
      <c r="I9" s="300">
        <v>4.9620000000763165</v>
      </c>
      <c r="J9" s="300">
        <f>SUM(G9:I9)</f>
        <v>16.201000000174009</v>
      </c>
      <c r="K9" s="300"/>
      <c r="L9" s="300">
        <v>4.4870000000106938</v>
      </c>
      <c r="M9" s="300">
        <v>4.0480000000556071</v>
      </c>
      <c r="N9" s="300">
        <v>8.0100000001195415</v>
      </c>
      <c r="O9" s="300">
        <f>SUM(L9:N9)</f>
        <v>16.545000000185844</v>
      </c>
      <c r="P9" s="300"/>
      <c r="Q9" s="300">
        <v>4.6550000001067451</v>
      </c>
      <c r="R9" s="300">
        <v>4.0720000001103953</v>
      </c>
      <c r="S9" s="300">
        <v>8.4310000001876748</v>
      </c>
      <c r="T9" s="300">
        <f>SUM(Q9:S9)</f>
        <v>17.158000000404815</v>
      </c>
      <c r="U9" s="300"/>
      <c r="V9" s="300">
        <v>4.8029999999725517</v>
      </c>
      <c r="W9" s="300">
        <v>3.906999999974555</v>
      </c>
      <c r="X9" s="300">
        <v>8.9659999998611912</v>
      </c>
      <c r="Y9" s="300">
        <f>SUM(V9:X9)</f>
        <v>17.675999999808298</v>
      </c>
    </row>
    <row r="10" spans="1:25" x14ac:dyDescent="0.2">
      <c r="A10" s="260" t="s">
        <v>355</v>
      </c>
      <c r="B10" s="300">
        <v>18.286000000028281</v>
      </c>
      <c r="C10" s="300">
        <v>7.8999999999894696E-2</v>
      </c>
      <c r="D10" s="300">
        <v>17.171999999980468</v>
      </c>
      <c r="E10" s="300">
        <f t="shared" ref="E10:E11" si="0">SUM(B10:D10)</f>
        <v>35.537000000008646</v>
      </c>
      <c r="F10" s="300"/>
      <c r="G10" s="300">
        <v>11.291000000028713</v>
      </c>
      <c r="H10" s="300">
        <v>1.1869999999970244</v>
      </c>
      <c r="I10" s="300">
        <v>19.017000000165446</v>
      </c>
      <c r="J10" s="300">
        <f t="shared" ref="J10:J11" si="1">SUM(G10:I10)</f>
        <v>31.495000000191183</v>
      </c>
      <c r="K10" s="300"/>
      <c r="L10" s="300">
        <v>15.378000000115232</v>
      </c>
      <c r="M10" s="300">
        <v>4.1480000000102484</v>
      </c>
      <c r="N10" s="300">
        <v>22.24299999968941</v>
      </c>
      <c r="O10" s="300">
        <f t="shared" ref="O10:O11" si="2">SUM(L10:N10)</f>
        <v>41.768999999814895</v>
      </c>
      <c r="P10" s="300"/>
      <c r="Q10" s="300">
        <v>16.491000000137163</v>
      </c>
      <c r="R10" s="300">
        <v>4.3329999999972335</v>
      </c>
      <c r="S10" s="300">
        <v>22.384999999027904</v>
      </c>
      <c r="T10" s="300">
        <f t="shared" ref="T10:T11" si="3">SUM(Q10:S10)</f>
        <v>43.208999999162302</v>
      </c>
      <c r="U10" s="300"/>
      <c r="V10" s="300">
        <v>18.464000000177997</v>
      </c>
      <c r="W10" s="300">
        <v>4.5009999999929819</v>
      </c>
      <c r="X10" s="300">
        <v>21.398999999248545</v>
      </c>
      <c r="Y10" s="300">
        <f t="shared" ref="Y10:Y11" si="4">SUM(V10:X10)</f>
        <v>44.363999999419519</v>
      </c>
    </row>
    <row r="11" spans="1:25" x14ac:dyDescent="0.2">
      <c r="A11" s="264" t="s">
        <v>354</v>
      </c>
      <c r="B11" s="301">
        <f>SUM(B9:B10)</f>
        <v>22.899999999975723</v>
      </c>
      <c r="C11" s="301">
        <f t="shared" ref="C11:D11" si="5">SUM(C9:C10)</f>
        <v>3.1939999999953135</v>
      </c>
      <c r="D11" s="301">
        <f t="shared" si="5"/>
        <v>21.641999999970679</v>
      </c>
      <c r="E11" s="301">
        <f t="shared" si="0"/>
        <v>47.735999999941711</v>
      </c>
      <c r="F11" s="301"/>
      <c r="G11" s="301">
        <f>SUM(G9:G10)</f>
        <v>17.005000000038013</v>
      </c>
      <c r="H11" s="301">
        <f t="shared" ref="H11" si="6">SUM(H9:H10)</f>
        <v>6.7120000000854176</v>
      </c>
      <c r="I11" s="301">
        <f t="shared" ref="I11" si="7">SUM(I9:I10)</f>
        <v>23.979000000241761</v>
      </c>
      <c r="J11" s="301">
        <f t="shared" si="1"/>
        <v>47.696000000365188</v>
      </c>
      <c r="K11" s="301"/>
      <c r="L11" s="301">
        <f>SUM(L9:L10)</f>
        <v>19.865000000125924</v>
      </c>
      <c r="M11" s="301">
        <f t="shared" ref="M11" si="8">SUM(M9:M10)</f>
        <v>8.1960000000658546</v>
      </c>
      <c r="N11" s="301">
        <f t="shared" ref="N11" si="9">SUM(N9:N10)</f>
        <v>30.252999999808949</v>
      </c>
      <c r="O11" s="301">
        <f t="shared" si="2"/>
        <v>58.314000000000732</v>
      </c>
      <c r="P11" s="301"/>
      <c r="Q11" s="301">
        <f>SUM(Q9:Q10)</f>
        <v>21.146000000243909</v>
      </c>
      <c r="R11" s="301">
        <f t="shared" ref="R11" si="10">SUM(R9:R10)</f>
        <v>8.4050000001076288</v>
      </c>
      <c r="S11" s="301">
        <f t="shared" ref="S11" si="11">SUM(S9:S10)</f>
        <v>30.815999999215578</v>
      </c>
      <c r="T11" s="301">
        <f t="shared" si="3"/>
        <v>60.366999999567113</v>
      </c>
      <c r="U11" s="301"/>
      <c r="V11" s="301">
        <f>SUM(V9:V10)</f>
        <v>23.267000000150549</v>
      </c>
      <c r="W11" s="301">
        <f t="shared" ref="W11" si="12">SUM(W9:W10)</f>
        <v>8.4079999999675366</v>
      </c>
      <c r="X11" s="301">
        <f t="shared" ref="X11" si="13">SUM(X9:X10)</f>
        <v>30.364999999109735</v>
      </c>
      <c r="Y11" s="301">
        <f t="shared" si="4"/>
        <v>62.039999999227817</v>
      </c>
    </row>
    <row r="13" spans="1:25" x14ac:dyDescent="0.2">
      <c r="A13" s="261"/>
    </row>
    <row r="14" spans="1:25" x14ac:dyDescent="0.2">
      <c r="C14" s="263"/>
    </row>
    <row r="15" spans="1:25" ht="15" x14ac:dyDescent="0.25">
      <c r="A15" s="265" t="str">
        <f>"Industry 2 : "&amp; name!B5</f>
        <v>Industry 2 : Mining and quarrying</v>
      </c>
      <c r="B15" s="371">
        <f>$B$5</f>
        <v>2015</v>
      </c>
      <c r="C15" s="371"/>
      <c r="D15" s="371"/>
      <c r="E15" s="371"/>
      <c r="F15" s="320"/>
      <c r="G15" s="371">
        <f>$G$5</f>
        <v>2019</v>
      </c>
      <c r="H15" s="371"/>
      <c r="I15" s="371"/>
      <c r="J15" s="371"/>
      <c r="K15" s="320"/>
      <c r="L15" s="371">
        <f>$L$5</f>
        <v>2020</v>
      </c>
      <c r="M15" s="371"/>
      <c r="N15" s="371"/>
      <c r="O15" s="371"/>
      <c r="P15" s="318"/>
      <c r="Q15" s="371">
        <f>$Q$5</f>
        <v>2025</v>
      </c>
      <c r="R15" s="371"/>
      <c r="S15" s="371"/>
      <c r="T15" s="371"/>
      <c r="U15" s="320"/>
      <c r="V15" s="371">
        <f>$V$5</f>
        <v>2035</v>
      </c>
      <c r="W15" s="371"/>
      <c r="X15" s="371"/>
      <c r="Y15" s="371"/>
    </row>
    <row r="16" spans="1:25" x14ac:dyDescent="0.2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x14ac:dyDescent="0.2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x14ac:dyDescent="0.2">
      <c r="A18" s="261" t="str">
        <f>name!A5</f>
        <v>Coal, oil &amp; gas; Mining &amp; related</v>
      </c>
      <c r="C18" s="263"/>
    </row>
    <row r="19" spans="1:25" x14ac:dyDescent="0.2">
      <c r="A19" s="260" t="s">
        <v>356</v>
      </c>
      <c r="B19" s="300">
        <v>0.39200000000116991</v>
      </c>
      <c r="C19" s="300">
        <v>5.8999999999195744E-2</v>
      </c>
      <c r="D19" s="300">
        <v>1.0000000000161544E-3</v>
      </c>
      <c r="E19" s="300">
        <f>SUM(B19:D19)</f>
        <v>0.45200000000038182</v>
      </c>
      <c r="F19" s="300"/>
      <c r="G19" s="300">
        <v>0.44099999999291101</v>
      </c>
      <c r="H19" s="300">
        <v>0.13999999999990576</v>
      </c>
      <c r="I19" s="300">
        <v>9.9999999999748077E-4</v>
      </c>
      <c r="J19" s="300">
        <f>SUM(G19:I19)</f>
        <v>0.58199999999281427</v>
      </c>
      <c r="K19" s="300"/>
      <c r="L19" s="300">
        <v>0.40999999999576137</v>
      </c>
      <c r="M19" s="300">
        <v>0.11399999999926204</v>
      </c>
      <c r="N19" s="300">
        <v>0</v>
      </c>
      <c r="O19" s="300">
        <f>SUM(L19:N19)</f>
        <v>0.52399999999502345</v>
      </c>
      <c r="P19" s="300"/>
      <c r="Q19" s="300">
        <v>0.31800000000190176</v>
      </c>
      <c r="R19" s="300">
        <v>8.9999999999121547E-2</v>
      </c>
      <c r="S19" s="300">
        <v>0</v>
      </c>
      <c r="T19" s="300">
        <f>SUM(Q19:S19)</f>
        <v>0.40800000000102332</v>
      </c>
      <c r="U19" s="300"/>
      <c r="V19" s="300">
        <v>0.21299999999998462</v>
      </c>
      <c r="W19" s="300">
        <v>6.499999999937503E-2</v>
      </c>
      <c r="X19" s="300">
        <v>0</v>
      </c>
      <c r="Y19" s="300">
        <f>SUM(V19:X19)</f>
        <v>0.27799999999935965</v>
      </c>
    </row>
    <row r="20" spans="1:25" x14ac:dyDescent="0.2">
      <c r="A20" s="260" t="s">
        <v>355</v>
      </c>
      <c r="B20" s="300">
        <v>2.7079999999985898</v>
      </c>
      <c r="C20" s="300">
        <v>8.0000000000426189E-2</v>
      </c>
      <c r="D20" s="300">
        <v>1.4409999999866963</v>
      </c>
      <c r="E20" s="300">
        <f t="shared" ref="E20:E21" si="14">SUM(B20:D20)</f>
        <v>4.228999999985712</v>
      </c>
      <c r="F20" s="300"/>
      <c r="G20" s="300">
        <v>2.8180000000026779</v>
      </c>
      <c r="H20" s="300">
        <v>7.6000000000381485E-2</v>
      </c>
      <c r="I20" s="300">
        <v>0</v>
      </c>
      <c r="J20" s="300">
        <f t="shared" ref="J20:J21" si="15">SUM(G20:I20)</f>
        <v>2.8940000000030595</v>
      </c>
      <c r="K20" s="300"/>
      <c r="L20" s="300">
        <v>2.9630000000144543</v>
      </c>
      <c r="M20" s="300">
        <v>3.5000000000352534E-2</v>
      </c>
      <c r="N20" s="300">
        <v>0</v>
      </c>
      <c r="O20" s="300">
        <f t="shared" ref="O20:O21" si="16">SUM(L20:N20)</f>
        <v>2.998000000014807</v>
      </c>
      <c r="P20" s="300"/>
      <c r="Q20" s="300">
        <v>2.3050000000191937</v>
      </c>
      <c r="R20" s="300">
        <v>2.8000000000158135E-2</v>
      </c>
      <c r="S20" s="300">
        <v>0</v>
      </c>
      <c r="T20" s="300">
        <f t="shared" ref="T20:T21" si="17">SUM(Q20:S20)</f>
        <v>2.3330000000193518</v>
      </c>
      <c r="U20" s="300"/>
      <c r="V20" s="300">
        <v>1.5960000000178147</v>
      </c>
      <c r="W20" s="300">
        <v>2.1000000000116811E-2</v>
      </c>
      <c r="X20" s="300">
        <v>0</v>
      </c>
      <c r="Y20" s="300">
        <f t="shared" ref="Y20:Y21" si="18">SUM(V20:X20)</f>
        <v>1.6170000000179314</v>
      </c>
    </row>
    <row r="21" spans="1:25" x14ac:dyDescent="0.2">
      <c r="A21" s="264" t="s">
        <v>354</v>
      </c>
      <c r="B21" s="301">
        <f>SUM(B19:B20)</f>
        <v>3.0999999999997598</v>
      </c>
      <c r="C21" s="301">
        <f t="shared" ref="C21" si="19">SUM(C19:C20)</f>
        <v>0.13899999999962193</v>
      </c>
      <c r="D21" s="301">
        <f t="shared" ref="D21" si="20">SUM(D19:D20)</f>
        <v>1.4419999999867124</v>
      </c>
      <c r="E21" s="301">
        <f t="shared" si="14"/>
        <v>4.6809999999860938</v>
      </c>
      <c r="F21" s="301"/>
      <c r="G21" s="301">
        <f>SUM(G19:G20)</f>
        <v>3.2589999999955888</v>
      </c>
      <c r="H21" s="301">
        <f t="shared" ref="H21" si="21">SUM(H19:H20)</f>
        <v>0.21600000000028724</v>
      </c>
      <c r="I21" s="301">
        <f t="shared" ref="I21" si="22">SUM(I19:I20)</f>
        <v>9.9999999999748077E-4</v>
      </c>
      <c r="J21" s="301">
        <f t="shared" si="15"/>
        <v>3.4759999999958735</v>
      </c>
      <c r="K21" s="301"/>
      <c r="L21" s="301">
        <f>SUM(L19:L20)</f>
        <v>3.3730000000102156</v>
      </c>
      <c r="M21" s="301">
        <f t="shared" ref="M21" si="23">SUM(M19:M20)</f>
        <v>0.14899999999961458</v>
      </c>
      <c r="N21" s="301">
        <f t="shared" ref="N21" si="24">SUM(N19:N20)</f>
        <v>0</v>
      </c>
      <c r="O21" s="301">
        <f t="shared" si="16"/>
        <v>3.5220000000098302</v>
      </c>
      <c r="P21" s="301"/>
      <c r="Q21" s="301">
        <f>SUM(Q19:Q20)</f>
        <v>2.6230000000210953</v>
      </c>
      <c r="R21" s="301">
        <f t="shared" ref="R21" si="25">SUM(R19:R20)</f>
        <v>0.11799999999927968</v>
      </c>
      <c r="S21" s="301">
        <f t="shared" ref="S21" si="26">SUM(S19:S20)</f>
        <v>0</v>
      </c>
      <c r="T21" s="301">
        <f t="shared" si="17"/>
        <v>2.7410000000203749</v>
      </c>
      <c r="U21" s="301"/>
      <c r="V21" s="301">
        <f>SUM(V19:V20)</f>
        <v>1.8090000000177993</v>
      </c>
      <c r="W21" s="301">
        <f t="shared" ref="W21" si="27">SUM(W19:W20)</f>
        <v>8.5999999999491844E-2</v>
      </c>
      <c r="X21" s="301">
        <f t="shared" ref="X21" si="28">SUM(X19:X20)</f>
        <v>0</v>
      </c>
      <c r="Y21" s="301">
        <f t="shared" si="18"/>
        <v>1.8950000000172911</v>
      </c>
    </row>
    <row r="22" spans="1:25" x14ac:dyDescent="0.2">
      <c r="A22" s="262"/>
    </row>
    <row r="23" spans="1:25" x14ac:dyDescent="0.2">
      <c r="A23" s="262"/>
    </row>
    <row r="24" spans="1:25" x14ac:dyDescent="0.2">
      <c r="A24" s="262"/>
    </row>
    <row r="25" spans="1:25" ht="15" x14ac:dyDescent="0.25">
      <c r="A25" s="265" t="str">
        <f>"Industry 3 : "&amp; name!B6</f>
        <v>Industry 3 : Food drink and tobacco</v>
      </c>
      <c r="B25" s="371">
        <f>$B$5</f>
        <v>2015</v>
      </c>
      <c r="C25" s="371"/>
      <c r="D25" s="371"/>
      <c r="E25" s="371"/>
      <c r="F25" s="320"/>
      <c r="G25" s="371">
        <f>$G$5</f>
        <v>2019</v>
      </c>
      <c r="H25" s="371"/>
      <c r="I25" s="371"/>
      <c r="J25" s="371"/>
      <c r="K25" s="320"/>
      <c r="L25" s="371">
        <f>$L$5</f>
        <v>2020</v>
      </c>
      <c r="M25" s="371"/>
      <c r="N25" s="371"/>
      <c r="O25" s="371"/>
      <c r="P25" s="318"/>
      <c r="Q25" s="371">
        <f>$Q$5</f>
        <v>2025</v>
      </c>
      <c r="R25" s="371"/>
      <c r="S25" s="371"/>
      <c r="T25" s="371"/>
      <c r="U25" s="320"/>
      <c r="V25" s="371">
        <f>$V$5</f>
        <v>2035</v>
      </c>
      <c r="W25" s="371"/>
      <c r="X25" s="371"/>
      <c r="Y25" s="371"/>
    </row>
    <row r="26" spans="1:25" x14ac:dyDescent="0.2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x14ac:dyDescent="0.2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x14ac:dyDescent="0.2">
      <c r="A28" s="261" t="str">
        <f>name!A6</f>
        <v>Food products</v>
      </c>
      <c r="C28" s="263"/>
    </row>
    <row r="29" spans="1:25" x14ac:dyDescent="0.2">
      <c r="A29" s="260" t="s">
        <v>356</v>
      </c>
      <c r="B29" s="300">
        <v>6.3679999998880197</v>
      </c>
      <c r="C29" s="300">
        <v>2.5030000000224022</v>
      </c>
      <c r="D29" s="300">
        <v>0.36800000000680866</v>
      </c>
      <c r="E29" s="300">
        <f>SUM(B29:D29)</f>
        <v>9.2389999999172314</v>
      </c>
      <c r="F29" s="300"/>
      <c r="G29" s="300">
        <v>6.5499999999832861</v>
      </c>
      <c r="H29" s="300">
        <v>2.0790000000700801</v>
      </c>
      <c r="I29" s="300">
        <v>1.7800000000279768</v>
      </c>
      <c r="J29" s="300">
        <f>SUM(G29:I29)</f>
        <v>10.409000000081344</v>
      </c>
      <c r="K29" s="300"/>
      <c r="L29" s="300">
        <v>6.6179999999932821</v>
      </c>
      <c r="M29" s="300">
        <v>1.8870000000616134</v>
      </c>
      <c r="N29" s="300">
        <v>2.0819999999630832</v>
      </c>
      <c r="O29" s="300">
        <f>SUM(L29:N29)</f>
        <v>10.587000000017978</v>
      </c>
      <c r="P29" s="300"/>
      <c r="Q29" s="300">
        <v>6.3740000002468298</v>
      </c>
      <c r="R29" s="300">
        <v>1.7490000001082178</v>
      </c>
      <c r="S29" s="300">
        <v>1.9869999999981842</v>
      </c>
      <c r="T29" s="300">
        <f>SUM(Q29:S29)</f>
        <v>10.110000000353232</v>
      </c>
      <c r="U29" s="300"/>
      <c r="V29" s="300">
        <v>5.6079999999643722</v>
      </c>
      <c r="W29" s="300">
        <v>1.429999999981211</v>
      </c>
      <c r="X29" s="300">
        <v>1.7039999999926327</v>
      </c>
      <c r="Y29" s="300">
        <f>SUM(V29:X29)</f>
        <v>8.7419999999382156</v>
      </c>
    </row>
    <row r="30" spans="1:25" x14ac:dyDescent="0.2">
      <c r="A30" s="260" t="s">
        <v>355</v>
      </c>
      <c r="B30" s="300">
        <v>18.878000000058229</v>
      </c>
      <c r="C30" s="300">
        <v>1.5060000000039344</v>
      </c>
      <c r="D30" s="300">
        <v>1.311999999995868</v>
      </c>
      <c r="E30" s="300">
        <f t="shared" ref="E30:E31" si="29">SUM(B30:D30)</f>
        <v>21.696000000058032</v>
      </c>
      <c r="F30" s="300"/>
      <c r="G30" s="300">
        <v>17.277000000073819</v>
      </c>
      <c r="H30" s="300">
        <v>1.1840000000038831</v>
      </c>
      <c r="I30" s="300">
        <v>0.56600000000168194</v>
      </c>
      <c r="J30" s="300">
        <f t="shared" ref="J30:J31" si="30">SUM(G30:I30)</f>
        <v>19.027000000079386</v>
      </c>
      <c r="K30" s="300"/>
      <c r="L30" s="300">
        <v>17.461000000204585</v>
      </c>
      <c r="M30" s="300">
        <v>1.3029999999905395</v>
      </c>
      <c r="N30" s="300">
        <v>0.66599999999671877</v>
      </c>
      <c r="O30" s="300">
        <f t="shared" ref="O30:O31" si="31">SUM(L30:N30)</f>
        <v>19.430000000191843</v>
      </c>
      <c r="P30" s="300"/>
      <c r="Q30" s="300">
        <v>16.037000000214878</v>
      </c>
      <c r="R30" s="300">
        <v>1.2099999999966262</v>
      </c>
      <c r="S30" s="300">
        <v>0.62499999999862288</v>
      </c>
      <c r="T30" s="300">
        <f t="shared" ref="T30:T31" si="32">SUM(Q30:S30)</f>
        <v>17.872000000210125</v>
      </c>
      <c r="U30" s="300"/>
      <c r="V30" s="300">
        <v>12.923000000225008</v>
      </c>
      <c r="W30" s="300">
        <v>0.99699999999497779</v>
      </c>
      <c r="X30" s="300">
        <v>0.52800000000205971</v>
      </c>
      <c r="Y30" s="300">
        <f t="shared" ref="Y30:Y31" si="33">SUM(V30:X30)</f>
        <v>14.448000000222045</v>
      </c>
    </row>
    <row r="31" spans="1:25" x14ac:dyDescent="0.2">
      <c r="A31" s="260" t="s">
        <v>354</v>
      </c>
      <c r="B31" s="300">
        <f>SUM(B29:B30)</f>
        <v>25.24599999994625</v>
      </c>
      <c r="C31" s="300">
        <f t="shared" ref="C31" si="34">SUM(C29:C30)</f>
        <v>4.0090000000263366</v>
      </c>
      <c r="D31" s="300">
        <f t="shared" ref="D31" si="35">SUM(D29:D30)</f>
        <v>1.6800000000026767</v>
      </c>
      <c r="E31" s="300">
        <f t="shared" si="29"/>
        <v>30.934999999975261</v>
      </c>
      <c r="F31" s="300"/>
      <c r="G31" s="300">
        <f>SUM(G29:G30)</f>
        <v>23.827000000057105</v>
      </c>
      <c r="H31" s="300">
        <f t="shared" ref="H31" si="36">SUM(H29:H30)</f>
        <v>3.263000000073963</v>
      </c>
      <c r="I31" s="300">
        <f t="shared" ref="I31" si="37">SUM(I29:I30)</f>
        <v>2.3460000000296586</v>
      </c>
      <c r="J31" s="300">
        <f t="shared" si="30"/>
        <v>29.436000000160725</v>
      </c>
      <c r="K31" s="300"/>
      <c r="L31" s="300">
        <f>SUM(L29:L30)</f>
        <v>24.079000000197865</v>
      </c>
      <c r="M31" s="300">
        <f t="shared" ref="M31" si="38">SUM(M29:M30)</f>
        <v>3.1900000000521529</v>
      </c>
      <c r="N31" s="300">
        <f t="shared" ref="N31" si="39">SUM(N29:N30)</f>
        <v>2.7479999999598022</v>
      </c>
      <c r="O31" s="300">
        <f t="shared" si="31"/>
        <v>30.017000000209819</v>
      </c>
      <c r="P31" s="300"/>
      <c r="Q31" s="300">
        <f>SUM(Q29:Q30)</f>
        <v>22.411000000461708</v>
      </c>
      <c r="R31" s="300">
        <f t="shared" ref="R31" si="40">SUM(R29:R30)</f>
        <v>2.9590000001048438</v>
      </c>
      <c r="S31" s="300">
        <f t="shared" ref="S31" si="41">SUM(S29:S30)</f>
        <v>2.6119999999968071</v>
      </c>
      <c r="T31" s="300">
        <f t="shared" si="32"/>
        <v>27.98200000056336</v>
      </c>
      <c r="U31" s="300"/>
      <c r="V31" s="300">
        <f>SUM(V29:V30)</f>
        <v>18.53100000018938</v>
      </c>
      <c r="W31" s="300">
        <f t="shared" ref="W31" si="42">SUM(W29:W30)</f>
        <v>2.4269999999761889</v>
      </c>
      <c r="X31" s="300">
        <f t="shared" ref="X31" si="43">SUM(X29:X30)</f>
        <v>2.2319999999946925</v>
      </c>
      <c r="Y31" s="300">
        <f t="shared" si="33"/>
        <v>23.190000000160261</v>
      </c>
    </row>
    <row r="32" spans="1:25" x14ac:dyDescent="0.2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x14ac:dyDescent="0.2">
      <c r="A33" s="261" t="str">
        <f>name!A7</f>
        <v>Beverages and tobacco</v>
      </c>
      <c r="C33" s="263"/>
    </row>
    <row r="34" spans="1:25" x14ac:dyDescent="0.2">
      <c r="A34" s="260" t="s">
        <v>356</v>
      </c>
      <c r="B34" s="300">
        <v>1.9729999999886165</v>
      </c>
      <c r="C34" s="300">
        <v>0.62499999999705913</v>
      </c>
      <c r="D34" s="300">
        <v>2.8000000000230462E-2</v>
      </c>
      <c r="E34" s="300">
        <f>SUM(B34:D34)</f>
        <v>2.6259999999859063</v>
      </c>
      <c r="F34" s="300"/>
      <c r="G34" s="300">
        <v>2.3089999999863515</v>
      </c>
      <c r="H34" s="300">
        <v>1.283000000016699</v>
      </c>
      <c r="I34" s="300">
        <v>6.900000000096386E-2</v>
      </c>
      <c r="J34" s="300">
        <f>SUM(G34:I34)</f>
        <v>3.6610000000040146</v>
      </c>
      <c r="K34" s="300"/>
      <c r="L34" s="300">
        <v>2.3319999999918655</v>
      </c>
      <c r="M34" s="300">
        <v>1.1650000000107199</v>
      </c>
      <c r="N34" s="300">
        <v>0.20599999999913032</v>
      </c>
      <c r="O34" s="300">
        <f>SUM(L34:N34)</f>
        <v>3.7030000000017158</v>
      </c>
      <c r="P34" s="300"/>
      <c r="Q34" s="300">
        <v>2.247000000039705</v>
      </c>
      <c r="R34" s="300">
        <v>1.079000000023616</v>
      </c>
      <c r="S34" s="300">
        <v>0.19600000000177323</v>
      </c>
      <c r="T34" s="300">
        <f>SUM(Q34:S34)</f>
        <v>3.5220000000650944</v>
      </c>
      <c r="U34" s="300"/>
      <c r="V34" s="300">
        <v>1.9769999999963535</v>
      </c>
      <c r="W34" s="300">
        <v>0.88299999999353895</v>
      </c>
      <c r="X34" s="300">
        <v>0.16799999999861065</v>
      </c>
      <c r="Y34" s="300">
        <f>SUM(V34:X34)</f>
        <v>3.027999999988503</v>
      </c>
    </row>
    <row r="35" spans="1:25" x14ac:dyDescent="0.2">
      <c r="A35" s="260" t="s">
        <v>355</v>
      </c>
      <c r="B35" s="300">
        <v>1.3890000000019098</v>
      </c>
      <c r="C35" s="300">
        <v>0.10800000000046771</v>
      </c>
      <c r="D35" s="300">
        <v>0.11099999999865859</v>
      </c>
      <c r="E35" s="300">
        <f t="shared" ref="E35:E36" si="44">SUM(B35:D35)</f>
        <v>1.6080000000010362</v>
      </c>
      <c r="F35" s="300"/>
      <c r="G35" s="300">
        <v>1.3470000000033973</v>
      </c>
      <c r="H35" s="300">
        <v>0.19900000000074705</v>
      </c>
      <c r="I35" s="300">
        <v>6.4999999999906938E-2</v>
      </c>
      <c r="J35" s="300">
        <f t="shared" ref="J35:J36" si="45">SUM(G35:I35)</f>
        <v>1.6110000000040512</v>
      </c>
      <c r="K35" s="300"/>
      <c r="L35" s="300">
        <v>1.3610000000096933</v>
      </c>
      <c r="M35" s="300">
        <v>0.21900000000016054</v>
      </c>
      <c r="N35" s="300">
        <v>0.12899999999868136</v>
      </c>
      <c r="O35" s="300">
        <f t="shared" ref="O35:O36" si="46">SUM(L35:N35)</f>
        <v>1.7090000000085352</v>
      </c>
      <c r="P35" s="300"/>
      <c r="Q35" s="300">
        <v>1.2500000000113045</v>
      </c>
      <c r="R35" s="300">
        <v>0.20300000000060889</v>
      </c>
      <c r="S35" s="300">
        <v>0.11999999999809008</v>
      </c>
      <c r="T35" s="300">
        <f t="shared" ref="T35:T36" si="47">SUM(Q35:S35)</f>
        <v>1.5730000000100035</v>
      </c>
      <c r="U35" s="300"/>
      <c r="V35" s="300">
        <v>1.0070000000119377</v>
      </c>
      <c r="W35" s="300">
        <v>0.16700000000109946</v>
      </c>
      <c r="X35" s="300">
        <v>0.10699999999880053</v>
      </c>
      <c r="Y35" s="300">
        <f t="shared" ref="Y35:Y36" si="48">SUM(V35:X35)</f>
        <v>1.2810000000118376</v>
      </c>
    </row>
    <row r="36" spans="1:25" x14ac:dyDescent="0.2">
      <c r="A36" s="260" t="s">
        <v>354</v>
      </c>
      <c r="B36" s="300">
        <f>SUM(B34:B35)</f>
        <v>3.3619999999905263</v>
      </c>
      <c r="C36" s="300">
        <f t="shared" ref="C36" si="49">SUM(C34:C35)</f>
        <v>0.73299999999752685</v>
      </c>
      <c r="D36" s="300">
        <f t="shared" ref="D36" si="50">SUM(D34:D35)</f>
        <v>0.13899999999888904</v>
      </c>
      <c r="E36" s="300">
        <f t="shared" si="44"/>
        <v>4.233999999986942</v>
      </c>
      <c r="F36" s="300"/>
      <c r="G36" s="300">
        <f>SUM(G34:G35)</f>
        <v>3.6559999999897488</v>
      </c>
      <c r="H36" s="300">
        <f t="shared" ref="H36" si="51">SUM(H34:H35)</f>
        <v>1.482000000017446</v>
      </c>
      <c r="I36" s="300">
        <f t="shared" ref="I36" si="52">SUM(I34:I35)</f>
        <v>0.13400000000087081</v>
      </c>
      <c r="J36" s="300">
        <f t="shared" si="45"/>
        <v>5.2720000000080658</v>
      </c>
      <c r="K36" s="300"/>
      <c r="L36" s="300">
        <f>SUM(L34:L35)</f>
        <v>3.6930000000015588</v>
      </c>
      <c r="M36" s="300">
        <f t="shared" ref="M36" si="53">SUM(M34:M35)</f>
        <v>1.3840000000108805</v>
      </c>
      <c r="N36" s="300">
        <f t="shared" ref="N36" si="54">SUM(N34:N35)</f>
        <v>0.33499999999781171</v>
      </c>
      <c r="O36" s="300">
        <f t="shared" si="46"/>
        <v>5.4120000000102513</v>
      </c>
      <c r="P36" s="300"/>
      <c r="Q36" s="300">
        <f>SUM(Q34:Q35)</f>
        <v>3.4970000000510097</v>
      </c>
      <c r="R36" s="300">
        <f t="shared" ref="R36" si="55">SUM(R34:R35)</f>
        <v>1.2820000000242249</v>
      </c>
      <c r="S36" s="300">
        <f t="shared" ref="S36" si="56">SUM(S34:S35)</f>
        <v>0.31599999999986328</v>
      </c>
      <c r="T36" s="300">
        <f t="shared" si="47"/>
        <v>5.0950000000750979</v>
      </c>
      <c r="U36" s="300"/>
      <c r="V36" s="300">
        <f>SUM(V34:V35)</f>
        <v>2.9840000000082911</v>
      </c>
      <c r="W36" s="300">
        <f t="shared" ref="W36" si="57">SUM(W34:W35)</f>
        <v>1.0499999999946383</v>
      </c>
      <c r="X36" s="300">
        <f t="shared" ref="X36" si="58">SUM(X34:X35)</f>
        <v>0.2749999999974112</v>
      </c>
      <c r="Y36" s="300">
        <f t="shared" si="48"/>
        <v>4.3090000000003412</v>
      </c>
    </row>
    <row r="37" spans="1:25" x14ac:dyDescent="0.2">
      <c r="C37" s="263"/>
    </row>
    <row r="38" spans="1:25" x14ac:dyDescent="0.2">
      <c r="A38" s="261" t="s">
        <v>372</v>
      </c>
    </row>
    <row r="39" spans="1:25" x14ac:dyDescent="0.2">
      <c r="A39" s="260" t="s">
        <v>356</v>
      </c>
      <c r="B39" s="300">
        <f>SUM(B29,B34)</f>
        <v>8.3409999998766367</v>
      </c>
      <c r="C39" s="300">
        <f t="shared" ref="C39:D40" si="59">SUM(C29,C34)</f>
        <v>3.1280000000194614</v>
      </c>
      <c r="D39" s="300">
        <f t="shared" si="59"/>
        <v>0.39600000000703911</v>
      </c>
      <c r="E39" s="300">
        <f>SUM(B39:D39)</f>
        <v>11.864999999903137</v>
      </c>
      <c r="F39" s="300"/>
      <c r="G39" s="300">
        <f>SUM(G29,G34)</f>
        <v>8.8589999999696367</v>
      </c>
      <c r="H39" s="300">
        <f t="shared" ref="H39:I39" si="60">SUM(H29,H34)</f>
        <v>3.3620000000867791</v>
      </c>
      <c r="I39" s="300">
        <f t="shared" si="60"/>
        <v>1.8490000000289406</v>
      </c>
      <c r="J39" s="300">
        <f>SUM(G39:I39)</f>
        <v>14.070000000085356</v>
      </c>
      <c r="K39" s="300"/>
      <c r="L39" s="300">
        <f>SUM(L29,L34)</f>
        <v>8.9499999999851472</v>
      </c>
      <c r="M39" s="300">
        <f t="shared" ref="M39:N39" si="61">SUM(M29,M34)</f>
        <v>3.0520000000723333</v>
      </c>
      <c r="N39" s="300">
        <f t="shared" si="61"/>
        <v>2.2879999999622136</v>
      </c>
      <c r="O39" s="300">
        <f>SUM(L39:N39)</f>
        <v>14.290000000019694</v>
      </c>
      <c r="P39" s="300"/>
      <c r="Q39" s="300">
        <f>SUM(Q29,Q34)</f>
        <v>8.6210000002865357</v>
      </c>
      <c r="R39" s="300">
        <f t="shared" ref="R39:S39" si="62">SUM(R29,R34)</f>
        <v>2.8280000001318335</v>
      </c>
      <c r="S39" s="300">
        <f t="shared" si="62"/>
        <v>2.1829999999999576</v>
      </c>
      <c r="T39" s="300">
        <f>SUM(Q39:S39)</f>
        <v>13.632000000418326</v>
      </c>
      <c r="U39" s="300"/>
      <c r="V39" s="300">
        <f>SUM(V29,V34)</f>
        <v>7.5849999999607256</v>
      </c>
      <c r="W39" s="300">
        <f t="shared" ref="W39:X39" si="63">SUM(W29,W34)</f>
        <v>2.3129999999747497</v>
      </c>
      <c r="X39" s="300">
        <f t="shared" si="63"/>
        <v>1.8719999999912433</v>
      </c>
      <c r="Y39" s="300">
        <f>SUM(V39:X39)</f>
        <v>11.769999999926718</v>
      </c>
    </row>
    <row r="40" spans="1:25" x14ac:dyDescent="0.2">
      <c r="A40" s="260" t="s">
        <v>355</v>
      </c>
      <c r="B40" s="300">
        <f>SUM(B30,B35)</f>
        <v>20.26700000006014</v>
      </c>
      <c r="C40" s="300">
        <f t="shared" si="59"/>
        <v>1.6140000000044021</v>
      </c>
      <c r="D40" s="300">
        <f t="shared" si="59"/>
        <v>1.4229999999945266</v>
      </c>
      <c r="E40" s="300">
        <f t="shared" ref="E40:E41" si="64">SUM(B40:D40)</f>
        <v>23.304000000059069</v>
      </c>
      <c r="F40" s="300"/>
      <c r="G40" s="300">
        <f>SUM(G30,G35)</f>
        <v>18.624000000077217</v>
      </c>
      <c r="H40" s="300">
        <f t="shared" ref="H40:I40" si="65">SUM(H30,H35)</f>
        <v>1.3830000000046301</v>
      </c>
      <c r="I40" s="300">
        <f t="shared" si="65"/>
        <v>0.63100000000158885</v>
      </c>
      <c r="J40" s="300">
        <f t="shared" ref="J40:J41" si="66">SUM(G40:I40)</f>
        <v>20.638000000083434</v>
      </c>
      <c r="K40" s="300"/>
      <c r="L40" s="300">
        <f>SUM(L30,L35)</f>
        <v>18.822000000214278</v>
      </c>
      <c r="M40" s="300">
        <f t="shared" ref="M40:N40" si="67">SUM(M30,M35)</f>
        <v>1.5219999999907001</v>
      </c>
      <c r="N40" s="300">
        <f t="shared" si="67"/>
        <v>0.79499999999540016</v>
      </c>
      <c r="O40" s="300">
        <f t="shared" ref="O40:O41" si="68">SUM(L40:N40)</f>
        <v>21.13900000020038</v>
      </c>
      <c r="P40" s="300"/>
      <c r="Q40" s="300">
        <f>SUM(Q30,Q35)</f>
        <v>17.287000000226183</v>
      </c>
      <c r="R40" s="300">
        <f t="shared" ref="R40:S40" si="69">SUM(R30,R35)</f>
        <v>1.4129999999972351</v>
      </c>
      <c r="S40" s="300">
        <f t="shared" si="69"/>
        <v>0.74499999999671296</v>
      </c>
      <c r="T40" s="300">
        <f t="shared" ref="T40:T41" si="70">SUM(Q40:S40)</f>
        <v>19.445000000220134</v>
      </c>
      <c r="U40" s="300"/>
      <c r="V40" s="300">
        <f>SUM(V30,V35)</f>
        <v>13.930000000236944</v>
      </c>
      <c r="W40" s="300">
        <f t="shared" ref="W40:X40" si="71">SUM(W30,W35)</f>
        <v>1.1639999999960773</v>
      </c>
      <c r="X40" s="300">
        <f t="shared" si="71"/>
        <v>0.63500000000086021</v>
      </c>
      <c r="Y40" s="300">
        <f t="shared" ref="Y40:Y41" si="72">SUM(V40:X40)</f>
        <v>15.729000000233881</v>
      </c>
    </row>
    <row r="41" spans="1:25" x14ac:dyDescent="0.2">
      <c r="A41" s="264" t="s">
        <v>354</v>
      </c>
      <c r="B41" s="301">
        <f>SUM(B39:B40)</f>
        <v>28.607999999936776</v>
      </c>
      <c r="C41" s="301">
        <f t="shared" ref="C41" si="73">SUM(C39:C40)</f>
        <v>4.7420000000238636</v>
      </c>
      <c r="D41" s="301">
        <f t="shared" ref="D41" si="74">SUM(D39:D40)</f>
        <v>1.8190000000015658</v>
      </c>
      <c r="E41" s="301">
        <f t="shared" si="64"/>
        <v>35.168999999962203</v>
      </c>
      <c r="F41" s="301"/>
      <c r="G41" s="301">
        <f>SUM(G39:G40)</f>
        <v>27.483000000046854</v>
      </c>
      <c r="H41" s="301">
        <f t="shared" ref="H41" si="75">SUM(H39:H40)</f>
        <v>4.7450000000914088</v>
      </c>
      <c r="I41" s="301">
        <f t="shared" ref="I41" si="76">SUM(I39:I40)</f>
        <v>2.4800000000305293</v>
      </c>
      <c r="J41" s="301">
        <f t="shared" si="66"/>
        <v>34.708000000168795</v>
      </c>
      <c r="K41" s="301"/>
      <c r="L41" s="301">
        <f>SUM(L39:L40)</f>
        <v>27.772000000199426</v>
      </c>
      <c r="M41" s="301">
        <f t="shared" ref="M41" si="77">SUM(M39:M40)</f>
        <v>4.5740000000630339</v>
      </c>
      <c r="N41" s="301">
        <f t="shared" ref="N41" si="78">SUM(N39:N40)</f>
        <v>3.0829999999576136</v>
      </c>
      <c r="O41" s="301">
        <f t="shared" si="68"/>
        <v>35.429000000220078</v>
      </c>
      <c r="P41" s="301"/>
      <c r="Q41" s="301">
        <f>SUM(Q39:Q40)</f>
        <v>25.908000000512718</v>
      </c>
      <c r="R41" s="301">
        <f t="shared" ref="R41" si="79">SUM(R39:R40)</f>
        <v>4.2410000001290689</v>
      </c>
      <c r="S41" s="301">
        <f t="shared" ref="S41" si="80">SUM(S39:S40)</f>
        <v>2.9279999999966706</v>
      </c>
      <c r="T41" s="301">
        <f t="shared" si="70"/>
        <v>33.077000000638456</v>
      </c>
      <c r="U41" s="301"/>
      <c r="V41" s="301">
        <f>SUM(V39:V40)</f>
        <v>21.51500000019767</v>
      </c>
      <c r="W41" s="301">
        <f t="shared" ref="W41" si="81">SUM(W39:W40)</f>
        <v>3.4769999999708272</v>
      </c>
      <c r="X41" s="301">
        <f t="shared" ref="X41" si="82">SUM(X39:X40)</f>
        <v>2.5069999999921038</v>
      </c>
      <c r="Y41" s="301">
        <f t="shared" si="72"/>
        <v>27.499000000160599</v>
      </c>
    </row>
    <row r="45" spans="1:25" ht="15" x14ac:dyDescent="0.25">
      <c r="A45" s="265" t="str">
        <f>"Industry 4 : "&amp; name!B7</f>
        <v>Industry 4 : Engineering</v>
      </c>
      <c r="B45" s="371">
        <f>$B$5</f>
        <v>2015</v>
      </c>
      <c r="C45" s="371"/>
      <c r="D45" s="371"/>
      <c r="E45" s="371"/>
      <c r="F45" s="320"/>
      <c r="G45" s="371">
        <f>$G$5</f>
        <v>2019</v>
      </c>
      <c r="H45" s="371"/>
      <c r="I45" s="371"/>
      <c r="J45" s="371"/>
      <c r="K45" s="320"/>
      <c r="L45" s="371">
        <f>$L$5</f>
        <v>2020</v>
      </c>
      <c r="M45" s="371"/>
      <c r="N45" s="371"/>
      <c r="O45" s="371"/>
      <c r="P45" s="318"/>
      <c r="Q45" s="371">
        <f>$Q$5</f>
        <v>2025</v>
      </c>
      <c r="R45" s="371"/>
      <c r="S45" s="371"/>
      <c r="T45" s="371"/>
      <c r="U45" s="320"/>
      <c r="V45" s="371">
        <f>$V$5</f>
        <v>2035</v>
      </c>
      <c r="W45" s="371"/>
      <c r="X45" s="371"/>
      <c r="Y45" s="371"/>
    </row>
    <row r="46" spans="1:25" x14ac:dyDescent="0.2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x14ac:dyDescent="0.2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x14ac:dyDescent="0.2">
      <c r="A48" s="261" t="str">
        <f>name!A19</f>
        <v>Computer, etc</v>
      </c>
      <c r="C48" s="263"/>
    </row>
    <row r="49" spans="1:25" x14ac:dyDescent="0.2">
      <c r="A49" s="260" t="s">
        <v>356</v>
      </c>
      <c r="B49" s="300">
        <v>2.4809999999719929</v>
      </c>
      <c r="C49" s="300">
        <v>0.59199999999758357</v>
      </c>
      <c r="D49" s="300">
        <v>6.0000000001305315E-2</v>
      </c>
      <c r="E49" s="300">
        <f>SUM(B49:D49)</f>
        <v>3.132999999970882</v>
      </c>
      <c r="F49" s="300"/>
      <c r="G49" s="300">
        <v>2.64799999996684</v>
      </c>
      <c r="H49" s="300">
        <v>0.48300000001050147</v>
      </c>
      <c r="I49" s="300">
        <v>0.2810000000011238</v>
      </c>
      <c r="J49" s="300">
        <f>SUM(G49:I49)</f>
        <v>3.4119999999784651</v>
      </c>
      <c r="K49" s="300"/>
      <c r="L49" s="300">
        <v>3.0799999999739676</v>
      </c>
      <c r="M49" s="300">
        <v>0.42600000000720911</v>
      </c>
      <c r="N49" s="300">
        <v>0.5599999999897044</v>
      </c>
      <c r="O49" s="300">
        <f>SUM(L49:N49)</f>
        <v>4.0659999999708809</v>
      </c>
      <c r="P49" s="300"/>
      <c r="Q49" s="300">
        <v>2.8600000000625903</v>
      </c>
      <c r="R49" s="300">
        <v>0.41800000001291521</v>
      </c>
      <c r="S49" s="300">
        <v>0.55199999999762772</v>
      </c>
      <c r="T49" s="300">
        <f>SUM(Q49:S49)</f>
        <v>3.8300000000731331</v>
      </c>
      <c r="U49" s="300"/>
      <c r="V49" s="300">
        <v>1.8610000000042619</v>
      </c>
      <c r="W49" s="300">
        <v>0.29199999999699394</v>
      </c>
      <c r="X49" s="300">
        <v>0.40999999999728576</v>
      </c>
      <c r="Y49" s="300">
        <f>SUM(V49:X49)</f>
        <v>2.5629999999985418</v>
      </c>
    </row>
    <row r="50" spans="1:25" x14ac:dyDescent="0.2">
      <c r="A50" s="260" t="s">
        <v>355</v>
      </c>
      <c r="B50" s="300">
        <v>8.3889999999718796</v>
      </c>
      <c r="C50" s="300">
        <v>0.40699999999874703</v>
      </c>
      <c r="D50" s="300">
        <v>0.71500000002328734</v>
      </c>
      <c r="E50" s="300">
        <f t="shared" ref="E50:E51" si="83">SUM(B50:D50)</f>
        <v>9.5109999999939152</v>
      </c>
      <c r="F50" s="300"/>
      <c r="G50" s="300">
        <v>8.7989999999870747</v>
      </c>
      <c r="H50" s="300">
        <v>0.21599999999931824</v>
      </c>
      <c r="I50" s="300">
        <v>0.91599999999544601</v>
      </c>
      <c r="J50" s="300">
        <f t="shared" ref="J50:J51" si="84">SUM(G50:I50)</f>
        <v>9.9309999999818395</v>
      </c>
      <c r="K50" s="300"/>
      <c r="L50" s="300">
        <v>9.0069999999839503</v>
      </c>
      <c r="M50" s="300">
        <v>0.26599999999817697</v>
      </c>
      <c r="N50" s="300">
        <v>0.52600000002190894</v>
      </c>
      <c r="O50" s="300">
        <f t="shared" ref="O50:O51" si="85">SUM(L50:N50)</f>
        <v>9.7990000000040371</v>
      </c>
      <c r="P50" s="300"/>
      <c r="Q50" s="300">
        <v>9.0170000000240211</v>
      </c>
      <c r="R50" s="300">
        <v>0.27199999999837199</v>
      </c>
      <c r="S50" s="300">
        <v>0.53300000005698533</v>
      </c>
      <c r="T50" s="300">
        <f t="shared" ref="T50:T51" si="86">SUM(Q50:S50)</f>
        <v>9.8220000000793775</v>
      </c>
      <c r="U50" s="300"/>
      <c r="V50" s="300">
        <v>6.7590000000317287</v>
      </c>
      <c r="W50" s="300">
        <v>0.20899999999819405</v>
      </c>
      <c r="X50" s="300">
        <v>0.40900000004523385</v>
      </c>
      <c r="Y50" s="300">
        <f t="shared" ref="Y50:Y51" si="87">SUM(V50:X50)</f>
        <v>7.3770000000751565</v>
      </c>
    </row>
    <row r="51" spans="1:25" x14ac:dyDescent="0.2">
      <c r="A51" s="260" t="s">
        <v>354</v>
      </c>
      <c r="B51" s="300">
        <f>SUM(B49:B50)</f>
        <v>10.869999999943872</v>
      </c>
      <c r="C51" s="300">
        <f t="shared" ref="C51" si="88">SUM(C49:C50)</f>
        <v>0.9989999999963306</v>
      </c>
      <c r="D51" s="300">
        <f t="shared" ref="D51" si="89">SUM(D49:D50)</f>
        <v>0.77500000002459268</v>
      </c>
      <c r="E51" s="300">
        <f t="shared" si="83"/>
        <v>12.643999999964795</v>
      </c>
      <c r="F51" s="300"/>
      <c r="G51" s="300">
        <f>SUM(G49:G50)</f>
        <v>11.446999999953915</v>
      </c>
      <c r="H51" s="300">
        <f t="shared" ref="H51" si="90">SUM(H49:H50)</f>
        <v>0.69900000000981977</v>
      </c>
      <c r="I51" s="300">
        <f t="shared" ref="I51" si="91">SUM(I49:I50)</f>
        <v>1.1969999999965699</v>
      </c>
      <c r="J51" s="300">
        <f t="shared" si="84"/>
        <v>13.342999999960306</v>
      </c>
      <c r="K51" s="300"/>
      <c r="L51" s="300">
        <f>SUM(L49:L50)</f>
        <v>12.086999999957918</v>
      </c>
      <c r="M51" s="300">
        <f t="shared" ref="M51" si="92">SUM(M49:M50)</f>
        <v>0.69200000000538608</v>
      </c>
      <c r="N51" s="300">
        <f t="shared" ref="N51" si="93">SUM(N49:N50)</f>
        <v>1.0860000000116132</v>
      </c>
      <c r="O51" s="300">
        <f t="shared" si="85"/>
        <v>13.864999999974916</v>
      </c>
      <c r="P51" s="300"/>
      <c r="Q51" s="300">
        <f>SUM(Q49:Q50)</f>
        <v>11.87700000008661</v>
      </c>
      <c r="R51" s="300">
        <f t="shared" ref="R51" si="94">SUM(R49:R50)</f>
        <v>0.69000000001128714</v>
      </c>
      <c r="S51" s="300">
        <f t="shared" ref="S51" si="95">SUM(S49:S50)</f>
        <v>1.0850000000546132</v>
      </c>
      <c r="T51" s="300">
        <f t="shared" si="86"/>
        <v>13.65200000015251</v>
      </c>
      <c r="U51" s="300"/>
      <c r="V51" s="300">
        <f>SUM(V49:V50)</f>
        <v>8.62000000003599</v>
      </c>
      <c r="W51" s="300">
        <f t="shared" ref="W51" si="96">SUM(W49:W50)</f>
        <v>0.50099999999518796</v>
      </c>
      <c r="X51" s="300">
        <f t="shared" ref="X51" si="97">SUM(X49:X50)</f>
        <v>0.8190000000425196</v>
      </c>
      <c r="Y51" s="300">
        <f t="shared" si="87"/>
        <v>9.940000000073697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1" t="str">
        <f>name!A20</f>
        <v>Electrical equipment</v>
      </c>
      <c r="C53" s="263"/>
    </row>
    <row r="54" spans="1:25" x14ac:dyDescent="0.2">
      <c r="A54" s="260" t="s">
        <v>356</v>
      </c>
      <c r="B54" s="300">
        <v>2.4989999999744263</v>
      </c>
      <c r="C54" s="300">
        <v>0.710999999996209</v>
      </c>
      <c r="D54" s="300">
        <v>7.600000000100797E-2</v>
      </c>
      <c r="E54" s="300">
        <f>SUM(B54:D54)</f>
        <v>3.2859999999716436</v>
      </c>
      <c r="F54" s="300"/>
      <c r="G54" s="300">
        <v>2.0309999999788699</v>
      </c>
      <c r="H54" s="300">
        <v>1.1250000000203975</v>
      </c>
      <c r="I54" s="300">
        <v>0.52000000000612989</v>
      </c>
      <c r="J54" s="300">
        <f>SUM(G54:I54)</f>
        <v>3.6760000000053972</v>
      </c>
      <c r="K54" s="300"/>
      <c r="L54" s="300">
        <v>1.9969999999864776</v>
      </c>
      <c r="M54" s="300">
        <v>0.860000000011654</v>
      </c>
      <c r="N54" s="300">
        <v>0.90899999998782799</v>
      </c>
      <c r="O54" s="300">
        <f>SUM(L54:N54)</f>
        <v>3.7659999999859597</v>
      </c>
      <c r="P54" s="300"/>
      <c r="Q54" s="300">
        <v>1.9510000000357881</v>
      </c>
      <c r="R54" s="300">
        <v>0.87400000002646605</v>
      </c>
      <c r="S54" s="300">
        <v>0.89599999999932622</v>
      </c>
      <c r="T54" s="300">
        <f>SUM(Q54:S54)</f>
        <v>3.7210000000615806</v>
      </c>
      <c r="U54" s="300"/>
      <c r="V54" s="300">
        <v>1.9430000000057646</v>
      </c>
      <c r="W54" s="300">
        <v>0.91199999999398806</v>
      </c>
      <c r="X54" s="300">
        <v>0.89199999999640245</v>
      </c>
      <c r="Y54" s="300">
        <f>SUM(V54:X54)</f>
        <v>3.746999999996155</v>
      </c>
    </row>
    <row r="55" spans="1:25" x14ac:dyDescent="0.2">
      <c r="A55" s="260" t="s">
        <v>355</v>
      </c>
      <c r="B55" s="300">
        <v>8.1879999999835817</v>
      </c>
      <c r="C55" s="300">
        <v>0.27299999999760344</v>
      </c>
      <c r="D55" s="300">
        <v>0.43900000000210843</v>
      </c>
      <c r="E55" s="300">
        <f t="shared" ref="E55:E56" si="98">SUM(B55:D55)</f>
        <v>8.8999999999832937</v>
      </c>
      <c r="F55" s="300"/>
      <c r="G55" s="300">
        <v>5.9499999999991688</v>
      </c>
      <c r="H55" s="300">
        <v>0.28499999999760123</v>
      </c>
      <c r="I55" s="300">
        <v>0.74400000000453725</v>
      </c>
      <c r="J55" s="300">
        <f t="shared" ref="J55:J56" si="99">SUM(G55:I55)</f>
        <v>6.9790000000013075</v>
      </c>
      <c r="K55" s="300"/>
      <c r="L55" s="300">
        <v>5.606000000009443</v>
      </c>
      <c r="M55" s="300">
        <v>0.36999999999685246</v>
      </c>
      <c r="N55" s="300">
        <v>0.1910000000002671</v>
      </c>
      <c r="O55" s="300">
        <f t="shared" ref="O55:O56" si="100">SUM(L55:N55)</f>
        <v>6.1670000000065626</v>
      </c>
      <c r="P55" s="300"/>
      <c r="Q55" s="300">
        <v>5.2100000000304263</v>
      </c>
      <c r="R55" s="300">
        <v>0.36799999999711891</v>
      </c>
      <c r="S55" s="300">
        <v>0.21900000000011494</v>
      </c>
      <c r="T55" s="300">
        <f t="shared" ref="T55:T56" si="101">SUM(Q55:S55)</f>
        <v>5.7970000000276602</v>
      </c>
      <c r="U55" s="300"/>
      <c r="V55" s="300">
        <v>4.708000000040192</v>
      </c>
      <c r="W55" s="300">
        <v>0.37499999999622013</v>
      </c>
      <c r="X55" s="300">
        <v>0.28199999999981018</v>
      </c>
      <c r="Y55" s="300">
        <f t="shared" ref="Y55:Y56" si="102">SUM(V55:X55)</f>
        <v>5.3650000000362219</v>
      </c>
    </row>
    <row r="56" spans="1:25" x14ac:dyDescent="0.2">
      <c r="A56" s="260" t="s">
        <v>354</v>
      </c>
      <c r="B56" s="300">
        <f>SUM(B54:B55)</f>
        <v>10.686999999958008</v>
      </c>
      <c r="C56" s="300">
        <f t="shared" ref="C56" si="103">SUM(C54:C55)</f>
        <v>0.98399999999381249</v>
      </c>
      <c r="D56" s="300">
        <f t="shared" ref="D56" si="104">SUM(D54:D55)</f>
        <v>0.51500000000311641</v>
      </c>
      <c r="E56" s="300">
        <f t="shared" si="98"/>
        <v>12.185999999954937</v>
      </c>
      <c r="F56" s="300"/>
      <c r="G56" s="300">
        <f>SUM(G54:G55)</f>
        <v>7.9809999999780388</v>
      </c>
      <c r="H56" s="300">
        <f t="shared" ref="H56" si="105">SUM(H54:H55)</f>
        <v>1.4100000000179986</v>
      </c>
      <c r="I56" s="300">
        <f t="shared" ref="I56" si="106">SUM(I54:I55)</f>
        <v>1.2640000000106673</v>
      </c>
      <c r="J56" s="300">
        <f t="shared" si="99"/>
        <v>10.655000000006705</v>
      </c>
      <c r="K56" s="300"/>
      <c r="L56" s="300">
        <f>SUM(L54:L55)</f>
        <v>7.6029999999959204</v>
      </c>
      <c r="M56" s="300">
        <f t="shared" ref="M56" si="107">SUM(M54:M55)</f>
        <v>1.2300000000085065</v>
      </c>
      <c r="N56" s="300">
        <f t="shared" ref="N56" si="108">SUM(N54:N55)</f>
        <v>1.0999999999880952</v>
      </c>
      <c r="O56" s="300">
        <f t="shared" si="100"/>
        <v>9.9329999999925214</v>
      </c>
      <c r="P56" s="300"/>
      <c r="Q56" s="300">
        <f>SUM(Q54:Q55)</f>
        <v>7.1610000000662142</v>
      </c>
      <c r="R56" s="300">
        <f t="shared" ref="R56" si="109">SUM(R54:R55)</f>
        <v>1.2420000000235849</v>
      </c>
      <c r="S56" s="300">
        <f t="shared" ref="S56" si="110">SUM(S54:S55)</f>
        <v>1.1149999999994411</v>
      </c>
      <c r="T56" s="300">
        <f t="shared" si="101"/>
        <v>9.5180000000892395</v>
      </c>
      <c r="U56" s="300"/>
      <c r="V56" s="300">
        <f>SUM(V54:V55)</f>
        <v>6.6510000000459568</v>
      </c>
      <c r="W56" s="300">
        <f t="shared" ref="W56" si="111">SUM(W54:W55)</f>
        <v>1.2869999999902082</v>
      </c>
      <c r="X56" s="300">
        <f t="shared" ref="X56" si="112">SUM(X54:X55)</f>
        <v>1.1739999999962127</v>
      </c>
      <c r="Y56" s="300">
        <f t="shared" si="102"/>
        <v>9.1120000000323778</v>
      </c>
    </row>
    <row r="57" spans="1:25" x14ac:dyDescent="0.2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x14ac:dyDescent="0.2">
      <c r="A58" s="261" t="str">
        <f>name!A21</f>
        <v>Machinery n.e.c.</v>
      </c>
      <c r="C58" s="263"/>
    </row>
    <row r="59" spans="1:25" x14ac:dyDescent="0.2">
      <c r="A59" s="260" t="s">
        <v>356</v>
      </c>
      <c r="B59" s="300">
        <v>2.4209999999783522</v>
      </c>
      <c r="C59" s="300">
        <v>0.49999999999625344</v>
      </c>
      <c r="D59" s="300">
        <v>9.6000000001274011E-2</v>
      </c>
      <c r="E59" s="300">
        <f>SUM(B59:D59)</f>
        <v>3.0169999999758796</v>
      </c>
      <c r="F59" s="300"/>
      <c r="G59" s="300">
        <v>2.6399999999720305</v>
      </c>
      <c r="H59" s="300">
        <v>0.50000000000869482</v>
      </c>
      <c r="I59" s="300">
        <v>0.88500000001024492</v>
      </c>
      <c r="J59" s="300">
        <f>SUM(G59:I59)</f>
        <v>4.0249999999909702</v>
      </c>
      <c r="K59" s="300"/>
      <c r="L59" s="300">
        <v>2.8019999999808984</v>
      </c>
      <c r="M59" s="300">
        <v>0.49400000000627237</v>
      </c>
      <c r="N59" s="300">
        <v>0.74499999998999589</v>
      </c>
      <c r="O59" s="300">
        <f>SUM(L59:N59)</f>
        <v>4.0409999999771671</v>
      </c>
      <c r="P59" s="300"/>
      <c r="Q59" s="300">
        <v>2.6290000000456741</v>
      </c>
      <c r="R59" s="300">
        <v>0.4620000000135725</v>
      </c>
      <c r="S59" s="300">
        <v>0.71899999999937292</v>
      </c>
      <c r="T59" s="300">
        <f>SUM(Q59:S59)</f>
        <v>3.8100000000586194</v>
      </c>
      <c r="U59" s="300"/>
      <c r="V59" s="300">
        <v>2.1710000000067033</v>
      </c>
      <c r="W59" s="300">
        <v>0.38299999999619805</v>
      </c>
      <c r="X59" s="300">
        <v>0.62799999999741596</v>
      </c>
      <c r="Y59" s="300">
        <f>SUM(V59:X59)</f>
        <v>3.1820000000003175</v>
      </c>
    </row>
    <row r="60" spans="1:25" x14ac:dyDescent="0.2">
      <c r="A60" s="260" t="s">
        <v>355</v>
      </c>
      <c r="B60" s="300">
        <v>14.197999999968923</v>
      </c>
      <c r="C60" s="300">
        <v>0.40300000000014002</v>
      </c>
      <c r="D60" s="300">
        <v>1.2519999999961726</v>
      </c>
      <c r="E60" s="300">
        <f t="shared" ref="E60:E61" si="113">SUM(B60:D60)</f>
        <v>15.852999999965236</v>
      </c>
      <c r="F60" s="300"/>
      <c r="G60" s="300">
        <v>13.41899999999635</v>
      </c>
      <c r="H60" s="300">
        <v>0.28299999999989878</v>
      </c>
      <c r="I60" s="300">
        <v>1.4830000000168431</v>
      </c>
      <c r="J60" s="300">
        <f t="shared" ref="J60:J61" si="114">SUM(G60:I60)</f>
        <v>15.18500000001309</v>
      </c>
      <c r="K60" s="300"/>
      <c r="L60" s="300">
        <v>13.087000000019261</v>
      </c>
      <c r="M60" s="300">
        <v>0.33399999999972957</v>
      </c>
      <c r="N60" s="300">
        <v>0.84299999999776465</v>
      </c>
      <c r="O60" s="300">
        <f t="shared" ref="O60:O61" si="115">SUM(L60:N60)</f>
        <v>14.264000000016756</v>
      </c>
      <c r="P60" s="300"/>
      <c r="Q60" s="300">
        <v>12.426000000072772</v>
      </c>
      <c r="R60" s="300">
        <v>0.32899999999970986</v>
      </c>
      <c r="S60" s="300">
        <v>0.80899999998605587</v>
      </c>
      <c r="T60" s="300">
        <f t="shared" ref="T60:T61" si="116">SUM(Q60:S60)</f>
        <v>13.564000000058538</v>
      </c>
      <c r="U60" s="300"/>
      <c r="V60" s="300">
        <v>10.512000000089271</v>
      </c>
      <c r="W60" s="300">
        <v>0.29799999999953924</v>
      </c>
      <c r="X60" s="300">
        <v>0.70499999999509932</v>
      </c>
      <c r="Y60" s="300">
        <f t="shared" ref="Y60:Y61" si="117">SUM(V60:X60)</f>
        <v>11.51500000008391</v>
      </c>
    </row>
    <row r="61" spans="1:25" x14ac:dyDescent="0.2">
      <c r="A61" s="260" t="s">
        <v>354</v>
      </c>
      <c r="B61" s="300">
        <f>SUM(B59:B60)</f>
        <v>16.618999999947274</v>
      </c>
      <c r="C61" s="300">
        <f t="shared" ref="C61" si="118">SUM(C59:C60)</f>
        <v>0.90299999999639347</v>
      </c>
      <c r="D61" s="300">
        <f t="shared" ref="D61" si="119">SUM(D59:D60)</f>
        <v>1.3479999999974466</v>
      </c>
      <c r="E61" s="300">
        <f t="shared" si="113"/>
        <v>18.869999999941115</v>
      </c>
      <c r="F61" s="300"/>
      <c r="G61" s="300">
        <f>SUM(G59:G60)</f>
        <v>16.058999999968382</v>
      </c>
      <c r="H61" s="300">
        <f t="shared" ref="H61" si="120">SUM(H59:H60)</f>
        <v>0.7830000000085936</v>
      </c>
      <c r="I61" s="300">
        <f t="shared" ref="I61" si="121">SUM(I59:I60)</f>
        <v>2.368000000027088</v>
      </c>
      <c r="J61" s="300">
        <f t="shared" si="114"/>
        <v>19.210000000004065</v>
      </c>
      <c r="K61" s="300"/>
      <c r="L61" s="300">
        <f>SUM(L59:L60)</f>
        <v>15.889000000000159</v>
      </c>
      <c r="M61" s="300">
        <f t="shared" ref="M61" si="122">SUM(M59:M60)</f>
        <v>0.82800000000600193</v>
      </c>
      <c r="N61" s="300">
        <f t="shared" ref="N61" si="123">SUM(N59:N60)</f>
        <v>1.5879999999877605</v>
      </c>
      <c r="O61" s="300">
        <f t="shared" si="115"/>
        <v>18.304999999993925</v>
      </c>
      <c r="P61" s="300"/>
      <c r="Q61" s="300">
        <f>SUM(Q59:Q60)</f>
        <v>15.055000000118447</v>
      </c>
      <c r="R61" s="300">
        <f t="shared" ref="R61" si="124">SUM(R59:R60)</f>
        <v>0.79100000001328241</v>
      </c>
      <c r="S61" s="300">
        <f t="shared" ref="S61" si="125">SUM(S59:S60)</f>
        <v>1.5279999999854288</v>
      </c>
      <c r="T61" s="300">
        <f t="shared" si="116"/>
        <v>17.374000000117157</v>
      </c>
      <c r="U61" s="300"/>
      <c r="V61" s="300">
        <f>SUM(V59:V60)</f>
        <v>12.683000000095975</v>
      </c>
      <c r="W61" s="300">
        <f t="shared" ref="W61" si="126">SUM(W59:W60)</f>
        <v>0.68099999999573724</v>
      </c>
      <c r="X61" s="300">
        <f t="shared" ref="X61" si="127">SUM(X59:X60)</f>
        <v>1.3329999999925153</v>
      </c>
      <c r="Y61" s="300">
        <f t="shared" si="117"/>
        <v>14.697000000084227</v>
      </c>
    </row>
    <row r="62" spans="1:25" x14ac:dyDescent="0.2">
      <c r="C62" s="263"/>
    </row>
    <row r="63" spans="1:25" x14ac:dyDescent="0.2">
      <c r="A63" s="261" t="s">
        <v>371</v>
      </c>
    </row>
    <row r="64" spans="1:25" x14ac:dyDescent="0.2">
      <c r="A64" s="260" t="s">
        <v>356</v>
      </c>
      <c r="B64" s="300">
        <f>SUM(B49,B54,B59)</f>
        <v>7.4009999999247711</v>
      </c>
      <c r="C64" s="300">
        <f t="shared" ref="C64:D65" si="128">SUM(C49,C54,C59)</f>
        <v>1.8029999999900459</v>
      </c>
      <c r="D64" s="300">
        <f t="shared" si="128"/>
        <v>0.23200000000358728</v>
      </c>
      <c r="E64" s="300">
        <f>SUM(B64:D64)</f>
        <v>9.4359999999184048</v>
      </c>
      <c r="F64" s="300"/>
      <c r="G64" s="300">
        <f>SUM(G49,G54,G59)</f>
        <v>7.3189999999177395</v>
      </c>
      <c r="H64" s="300">
        <f t="shared" ref="H64:I64" si="129">SUM(H49,H54,H59)</f>
        <v>2.1080000000395938</v>
      </c>
      <c r="I64" s="300">
        <f t="shared" si="129"/>
        <v>1.6860000000174986</v>
      </c>
      <c r="J64" s="300">
        <f>SUM(G64:I64)</f>
        <v>11.112999999974832</v>
      </c>
      <c r="K64" s="300"/>
      <c r="L64" s="300">
        <f>SUM(L49,L54,L59)</f>
        <v>7.8789999999413434</v>
      </c>
      <c r="M64" s="300">
        <f t="shared" ref="M64:N64" si="130">SUM(M49,M54,M59)</f>
        <v>1.7800000000251355</v>
      </c>
      <c r="N64" s="300">
        <f t="shared" si="130"/>
        <v>2.2139999999675286</v>
      </c>
      <c r="O64" s="300">
        <f>SUM(L64:N64)</f>
        <v>11.872999999934008</v>
      </c>
      <c r="P64" s="300"/>
      <c r="Q64" s="300">
        <f>SUM(Q49,Q54,Q59)</f>
        <v>7.4400000001440523</v>
      </c>
      <c r="R64" s="300">
        <f t="shared" ref="R64:S64" si="131">SUM(R49,R54,R59)</f>
        <v>1.7540000000529536</v>
      </c>
      <c r="S64" s="300">
        <f t="shared" si="131"/>
        <v>2.1669999999963268</v>
      </c>
      <c r="T64" s="300">
        <f>SUM(Q64:S64)</f>
        <v>11.361000000193332</v>
      </c>
      <c r="U64" s="300"/>
      <c r="V64" s="300">
        <f>SUM(V49,V54,V59)</f>
        <v>5.9750000000167294</v>
      </c>
      <c r="W64" s="300">
        <f t="shared" ref="W64:X64" si="132">SUM(W49,W54,W59)</f>
        <v>1.5869999999871802</v>
      </c>
      <c r="X64" s="300">
        <f t="shared" si="132"/>
        <v>1.9299999999911042</v>
      </c>
      <c r="Y64" s="300">
        <f>SUM(V64:X64)</f>
        <v>9.4919999999950129</v>
      </c>
    </row>
    <row r="65" spans="1:25" x14ac:dyDescent="0.2">
      <c r="A65" s="260" t="s">
        <v>355</v>
      </c>
      <c r="B65" s="300">
        <f>SUM(B50,B55,B60)</f>
        <v>30.774999999924383</v>
      </c>
      <c r="C65" s="300">
        <f t="shared" si="128"/>
        <v>1.0829999999964905</v>
      </c>
      <c r="D65" s="300">
        <f t="shared" si="128"/>
        <v>2.4060000000215682</v>
      </c>
      <c r="E65" s="300">
        <f t="shared" ref="E65:E66" si="133">SUM(B65:D65)</f>
        <v>34.263999999942442</v>
      </c>
      <c r="F65" s="300"/>
      <c r="G65" s="300">
        <f>SUM(G50,G55,G60)</f>
        <v>28.167999999982591</v>
      </c>
      <c r="H65" s="300">
        <f t="shared" ref="H65:I65" si="134">SUM(H50,H55,H60)</f>
        <v>0.78399999999681824</v>
      </c>
      <c r="I65" s="300">
        <f t="shared" si="134"/>
        <v>3.1430000000168263</v>
      </c>
      <c r="J65" s="300">
        <f t="shared" ref="J65:J66" si="135">SUM(G65:I65)</f>
        <v>32.094999999996233</v>
      </c>
      <c r="K65" s="300"/>
      <c r="L65" s="300">
        <f>SUM(L50,L55,L60)</f>
        <v>27.700000000012654</v>
      </c>
      <c r="M65" s="300">
        <f t="shared" ref="M65:N65" si="136">SUM(M50,M55,M60)</f>
        <v>0.96999999999475905</v>
      </c>
      <c r="N65" s="300">
        <f t="shared" si="136"/>
        <v>1.5600000000199405</v>
      </c>
      <c r="O65" s="300">
        <f t="shared" ref="O65:O66" si="137">SUM(L65:N65)</f>
        <v>30.230000000027353</v>
      </c>
      <c r="P65" s="300"/>
      <c r="Q65" s="300">
        <f>SUM(Q50,Q55,Q60)</f>
        <v>26.653000000127221</v>
      </c>
      <c r="R65" s="300">
        <f t="shared" ref="R65:S65" si="138">SUM(R50,R55,R60)</f>
        <v>0.9689999999952007</v>
      </c>
      <c r="S65" s="300">
        <f t="shared" si="138"/>
        <v>1.5610000000431561</v>
      </c>
      <c r="T65" s="300">
        <f t="shared" ref="T65:T66" si="139">SUM(Q65:S65)</f>
        <v>29.183000000165578</v>
      </c>
      <c r="U65" s="300"/>
      <c r="V65" s="300">
        <f>SUM(V50,V55,V60)</f>
        <v>21.979000000161193</v>
      </c>
      <c r="W65" s="300">
        <f t="shared" ref="W65:X65" si="140">SUM(W50,W55,W60)</f>
        <v>0.8819999999939534</v>
      </c>
      <c r="X65" s="300">
        <f t="shared" si="140"/>
        <v>1.3960000000401434</v>
      </c>
      <c r="Y65" s="300">
        <f t="shared" ref="Y65:Y66" si="141">SUM(V65:X65)</f>
        <v>24.257000000195291</v>
      </c>
    </row>
    <row r="66" spans="1:25" x14ac:dyDescent="0.2">
      <c r="A66" s="264" t="s">
        <v>354</v>
      </c>
      <c r="B66" s="301">
        <f>SUM(B64:B65)</f>
        <v>38.175999999849154</v>
      </c>
      <c r="C66" s="301">
        <f t="shared" ref="C66" si="142">SUM(C64:C65)</f>
        <v>2.8859999999865362</v>
      </c>
      <c r="D66" s="301">
        <f t="shared" ref="D66" si="143">SUM(D64:D65)</f>
        <v>2.6380000000251553</v>
      </c>
      <c r="E66" s="301">
        <f t="shared" si="133"/>
        <v>43.69999999986085</v>
      </c>
      <c r="F66" s="301"/>
      <c r="G66" s="301">
        <f>SUM(G64:G65)</f>
        <v>35.486999999900334</v>
      </c>
      <c r="H66" s="301">
        <f t="shared" ref="H66" si="144">SUM(H64:H65)</f>
        <v>2.8920000000364121</v>
      </c>
      <c r="I66" s="301">
        <f t="shared" ref="I66" si="145">SUM(I64:I65)</f>
        <v>4.8290000000343252</v>
      </c>
      <c r="J66" s="301">
        <f t="shared" si="135"/>
        <v>43.207999999971072</v>
      </c>
      <c r="K66" s="301"/>
      <c r="L66" s="301">
        <f>SUM(L64:L65)</f>
        <v>35.578999999954</v>
      </c>
      <c r="M66" s="301">
        <f t="shared" ref="M66" si="146">SUM(M64:M65)</f>
        <v>2.7500000000198943</v>
      </c>
      <c r="N66" s="301">
        <f t="shared" ref="N66" si="147">SUM(N64:N65)</f>
        <v>3.7739999999874692</v>
      </c>
      <c r="O66" s="301">
        <f t="shared" si="137"/>
        <v>42.102999999961362</v>
      </c>
      <c r="P66" s="301"/>
      <c r="Q66" s="301">
        <f>SUM(Q64:Q65)</f>
        <v>34.093000000271275</v>
      </c>
      <c r="R66" s="301">
        <f t="shared" ref="R66" si="148">SUM(R64:R65)</f>
        <v>2.7230000000481542</v>
      </c>
      <c r="S66" s="301">
        <f t="shared" ref="S66" si="149">SUM(S64:S65)</f>
        <v>3.7280000000394828</v>
      </c>
      <c r="T66" s="301">
        <f t="shared" si="139"/>
        <v>40.544000000358906</v>
      </c>
      <c r="U66" s="301"/>
      <c r="V66" s="301">
        <f>SUM(V64:V65)</f>
        <v>27.954000000177921</v>
      </c>
      <c r="W66" s="301">
        <f t="shared" ref="W66" si="150">SUM(W64:W65)</f>
        <v>2.4689999999811336</v>
      </c>
      <c r="X66" s="301">
        <f t="shared" ref="X66" si="151">SUM(X64:X65)</f>
        <v>3.3260000000312475</v>
      </c>
      <c r="Y66" s="301">
        <f t="shared" si="141"/>
        <v>33.7490000001903</v>
      </c>
    </row>
    <row r="67" spans="1:25" x14ac:dyDescent="0.2">
      <c r="C67" s="263"/>
    </row>
    <row r="68" spans="1:25" x14ac:dyDescent="0.2">
      <c r="C68" s="263"/>
    </row>
    <row r="69" spans="1:25" x14ac:dyDescent="0.2">
      <c r="A69" s="261"/>
    </row>
    <row r="70" spans="1:25" ht="15" x14ac:dyDescent="0.25">
      <c r="A70" s="265" t="str">
        <f>"Industry 5 : "&amp; name!B8</f>
        <v>Industry 5 : Rest of manufacturing</v>
      </c>
      <c r="B70" s="371">
        <f>$B$5</f>
        <v>2015</v>
      </c>
      <c r="C70" s="371"/>
      <c r="D70" s="371"/>
      <c r="E70" s="371"/>
      <c r="F70" s="320"/>
      <c r="G70" s="371">
        <f>$G$5</f>
        <v>2019</v>
      </c>
      <c r="H70" s="371"/>
      <c r="I70" s="371"/>
      <c r="J70" s="371"/>
      <c r="K70" s="320"/>
      <c r="L70" s="371">
        <f>$L$5</f>
        <v>2020</v>
      </c>
      <c r="M70" s="371"/>
      <c r="N70" s="371"/>
      <c r="O70" s="371"/>
      <c r="P70" s="318"/>
      <c r="Q70" s="371">
        <f>$Q$5</f>
        <v>2025</v>
      </c>
      <c r="R70" s="371"/>
      <c r="S70" s="371"/>
      <c r="T70" s="371"/>
      <c r="U70" s="320"/>
      <c r="V70" s="371">
        <f>$V$5</f>
        <v>2035</v>
      </c>
      <c r="W70" s="371"/>
      <c r="X70" s="371"/>
      <c r="Y70" s="371"/>
    </row>
    <row r="71" spans="1:25" x14ac:dyDescent="0.2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x14ac:dyDescent="0.2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x14ac:dyDescent="0.2">
      <c r="A73" s="261" t="str">
        <f>name!A8</f>
        <v>Textiles</v>
      </c>
      <c r="C73" s="263"/>
    </row>
    <row r="74" spans="1:25" x14ac:dyDescent="0.2">
      <c r="A74" s="260" t="s">
        <v>356</v>
      </c>
      <c r="B74" s="300">
        <v>0.49799999999166056</v>
      </c>
      <c r="C74" s="300">
        <v>0.61500000000420385</v>
      </c>
      <c r="D74" s="300">
        <v>0.13700000000290063</v>
      </c>
      <c r="E74" s="300">
        <f>SUM(B74:D74)</f>
        <v>1.249999999998765</v>
      </c>
      <c r="F74" s="300"/>
      <c r="G74" s="300">
        <v>0.24599999999756775</v>
      </c>
      <c r="H74" s="300">
        <v>0.30000000000778815</v>
      </c>
      <c r="I74" s="300">
        <v>0.3670000000047054</v>
      </c>
      <c r="J74" s="300">
        <f>SUM(G74:I74)</f>
        <v>0.91300000001006132</v>
      </c>
      <c r="K74" s="300"/>
      <c r="L74" s="300">
        <v>0.25199999999814288</v>
      </c>
      <c r="M74" s="300">
        <v>0.28200000000699099</v>
      </c>
      <c r="N74" s="300">
        <v>0.60599999998523124</v>
      </c>
      <c r="O74" s="300">
        <f>SUM(L74:N74)</f>
        <v>1.1399999999903652</v>
      </c>
      <c r="P74" s="300"/>
      <c r="Q74" s="300">
        <v>0.22100000000727088</v>
      </c>
      <c r="R74" s="300">
        <v>0.23900000001249333</v>
      </c>
      <c r="S74" s="300">
        <v>0.51999999999442592</v>
      </c>
      <c r="T74" s="300">
        <f>SUM(Q74:S74)</f>
        <v>0.98000000001419019</v>
      </c>
      <c r="U74" s="300"/>
      <c r="V74" s="300">
        <v>0.18899999999992181</v>
      </c>
      <c r="W74" s="300">
        <v>0.20299999999892807</v>
      </c>
      <c r="X74" s="300">
        <v>0.43500000000138223</v>
      </c>
      <c r="Y74" s="300">
        <f>SUM(V74:X74)</f>
        <v>0.82700000000023211</v>
      </c>
    </row>
    <row r="75" spans="1:25" x14ac:dyDescent="0.2">
      <c r="A75" s="260" t="s">
        <v>355</v>
      </c>
      <c r="B75" s="300">
        <v>1.6190000000027525</v>
      </c>
      <c r="C75" s="300">
        <v>0.10800000000117936</v>
      </c>
      <c r="D75" s="300">
        <v>0.38600000000278856</v>
      </c>
      <c r="E75" s="300">
        <f t="shared" ref="E75:E76" si="152">SUM(B75:D75)</f>
        <v>2.1130000000067204</v>
      </c>
      <c r="F75" s="300"/>
      <c r="G75" s="300">
        <v>0.82000000000241258</v>
      </c>
      <c r="H75" s="300">
        <v>3.700000000038859E-2</v>
      </c>
      <c r="I75" s="300">
        <v>0.1340000000010716</v>
      </c>
      <c r="J75" s="300">
        <f t="shared" ref="J75:J76" si="153">SUM(G75:I75)</f>
        <v>0.99100000000387278</v>
      </c>
      <c r="K75" s="300"/>
      <c r="L75" s="300">
        <v>0.82400000000710327</v>
      </c>
      <c r="M75" s="300">
        <v>5.8000000000485816E-2</v>
      </c>
      <c r="N75" s="300">
        <v>9.7000000000455569E-2</v>
      </c>
      <c r="O75" s="300">
        <f t="shared" ref="O75:O76" si="154">SUM(L75:N75)</f>
        <v>0.97900000000804466</v>
      </c>
      <c r="P75" s="300"/>
      <c r="Q75" s="300">
        <v>0.72500000000800868</v>
      </c>
      <c r="R75" s="300">
        <v>4.9000000000390523E-2</v>
      </c>
      <c r="S75" s="300">
        <v>8.5000000000596584E-2</v>
      </c>
      <c r="T75" s="300">
        <f t="shared" ref="T75:T76" si="155">SUM(Q75:S75)</f>
        <v>0.85900000000899579</v>
      </c>
      <c r="U75" s="300"/>
      <c r="V75" s="300">
        <v>0.61000000000917021</v>
      </c>
      <c r="W75" s="300">
        <v>4.3000000000635648E-2</v>
      </c>
      <c r="X75" s="300">
        <v>7.0000000000467327E-2</v>
      </c>
      <c r="Y75" s="300">
        <f t="shared" ref="Y75:Y76" si="156">SUM(V75:X75)</f>
        <v>0.7230000000102732</v>
      </c>
    </row>
    <row r="76" spans="1:25" x14ac:dyDescent="0.2">
      <c r="A76" s="260" t="s">
        <v>354</v>
      </c>
      <c r="B76" s="300">
        <f>SUM(B74:B75)</f>
        <v>2.1169999999944129</v>
      </c>
      <c r="C76" s="300">
        <f t="shared" ref="C76" si="157">SUM(C74:C75)</f>
        <v>0.72300000000538323</v>
      </c>
      <c r="D76" s="300">
        <f t="shared" ref="D76" si="158">SUM(D74:D75)</f>
        <v>0.52300000000568914</v>
      </c>
      <c r="E76" s="300">
        <f t="shared" si="152"/>
        <v>3.3630000000054849</v>
      </c>
      <c r="F76" s="300"/>
      <c r="G76" s="300">
        <f>SUM(G74:G75)</f>
        <v>1.0659999999999803</v>
      </c>
      <c r="H76" s="300">
        <f t="shared" ref="H76" si="159">SUM(H74:H75)</f>
        <v>0.33700000000817676</v>
      </c>
      <c r="I76" s="300">
        <f t="shared" ref="I76" si="160">SUM(I74:I75)</f>
        <v>0.50100000000577705</v>
      </c>
      <c r="J76" s="300">
        <f t="shared" si="153"/>
        <v>1.9040000000139341</v>
      </c>
      <c r="K76" s="300"/>
      <c r="L76" s="300">
        <f>SUM(L74:L75)</f>
        <v>1.0760000000052461</v>
      </c>
      <c r="M76" s="300">
        <f t="shared" ref="M76" si="161">SUM(M74:M75)</f>
        <v>0.34000000000747682</v>
      </c>
      <c r="N76" s="300">
        <f t="shared" ref="N76" si="162">SUM(N74:N75)</f>
        <v>0.70299999998568685</v>
      </c>
      <c r="O76" s="300">
        <f t="shared" si="154"/>
        <v>2.1189999999984099</v>
      </c>
      <c r="P76" s="300"/>
      <c r="Q76" s="300">
        <f>SUM(Q74:Q75)</f>
        <v>0.94600000001527951</v>
      </c>
      <c r="R76" s="300">
        <f t="shared" ref="R76" si="163">SUM(R74:R75)</f>
        <v>0.28800000001288384</v>
      </c>
      <c r="S76" s="300">
        <f t="shared" ref="S76" si="164">SUM(S74:S75)</f>
        <v>0.60499999999502252</v>
      </c>
      <c r="T76" s="300">
        <f t="shared" si="155"/>
        <v>1.8390000000231859</v>
      </c>
      <c r="U76" s="300"/>
      <c r="V76" s="300">
        <f>SUM(V74:V75)</f>
        <v>0.79900000000909199</v>
      </c>
      <c r="W76" s="300">
        <f t="shared" ref="W76" si="165">SUM(W74:W75)</f>
        <v>0.24599999999956371</v>
      </c>
      <c r="X76" s="300">
        <f t="shared" ref="X76" si="166">SUM(X74:X75)</f>
        <v>0.50500000000184952</v>
      </c>
      <c r="Y76" s="300">
        <f t="shared" si="156"/>
        <v>1.5500000000105052</v>
      </c>
    </row>
    <row r="77" spans="1:25" x14ac:dyDescent="0.2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x14ac:dyDescent="0.2">
      <c r="A78" s="261" t="str">
        <f>name!A9</f>
        <v>Wearing apparel; Leather, etc</v>
      </c>
      <c r="C78" s="263"/>
    </row>
    <row r="79" spans="1:25" x14ac:dyDescent="0.2">
      <c r="A79" s="260" t="s">
        <v>356</v>
      </c>
      <c r="B79" s="300">
        <v>0.94599999998851869</v>
      </c>
      <c r="C79" s="300">
        <v>0.49900000000356315</v>
      </c>
      <c r="D79" s="300">
        <v>0.10300000000247121</v>
      </c>
      <c r="E79" s="300">
        <f>SUM(B79:D79)</f>
        <v>1.5479999999945528</v>
      </c>
      <c r="F79" s="300"/>
      <c r="G79" s="300">
        <v>0.85999999999748311</v>
      </c>
      <c r="H79" s="300">
        <v>0.42200000000840127</v>
      </c>
      <c r="I79" s="300">
        <v>0.57600000000574347</v>
      </c>
      <c r="J79" s="300">
        <f>SUM(G79:I79)</f>
        <v>1.8580000000116279</v>
      </c>
      <c r="K79" s="300"/>
      <c r="L79" s="300">
        <v>0.87999999999876188</v>
      </c>
      <c r="M79" s="300">
        <v>0.39800000000689628</v>
      </c>
      <c r="N79" s="300">
        <v>0.85199999997620335</v>
      </c>
      <c r="O79" s="300">
        <f>SUM(L79:N79)</f>
        <v>2.1299999999818615</v>
      </c>
      <c r="P79" s="300"/>
      <c r="Q79" s="300">
        <v>0.76999999998531565</v>
      </c>
      <c r="R79" s="300">
        <v>0.33700000000849506</v>
      </c>
      <c r="S79" s="300">
        <v>0.73099999998862941</v>
      </c>
      <c r="T79" s="300">
        <f>SUM(Q79:S79)</f>
        <v>1.8379999999824401</v>
      </c>
      <c r="U79" s="300"/>
      <c r="V79" s="300">
        <v>0.66100000000310277</v>
      </c>
      <c r="W79" s="300">
        <v>0.28699999999654324</v>
      </c>
      <c r="X79" s="300">
        <v>0.61100000000301991</v>
      </c>
      <c r="Y79" s="300">
        <f>SUM(V79:X79)</f>
        <v>1.559000000002666</v>
      </c>
    </row>
    <row r="80" spans="1:25" x14ac:dyDescent="0.2">
      <c r="A80" s="260" t="s">
        <v>355</v>
      </c>
      <c r="B80" s="300">
        <v>1.3750000000048892</v>
      </c>
      <c r="C80" s="300">
        <v>5.0000000000470397E-2</v>
      </c>
      <c r="D80" s="300">
        <v>0.34000000000155312</v>
      </c>
      <c r="E80" s="300">
        <f t="shared" ref="E80:E81" si="167">SUM(B80:D80)</f>
        <v>1.7650000000069126</v>
      </c>
      <c r="F80" s="300"/>
      <c r="G80" s="300">
        <v>1.2920000000061029</v>
      </c>
      <c r="H80" s="300">
        <v>3.600000000042846E-2</v>
      </c>
      <c r="I80" s="300">
        <v>0.20900000000200034</v>
      </c>
      <c r="J80" s="300">
        <f t="shared" ref="J80:J81" si="168">SUM(G80:I80)</f>
        <v>1.5370000000085315</v>
      </c>
      <c r="K80" s="300"/>
      <c r="L80" s="300">
        <v>1.2980000000158496</v>
      </c>
      <c r="M80" s="300">
        <v>5.7000000000794741E-2</v>
      </c>
      <c r="N80" s="300">
        <v>0.26000000000076728</v>
      </c>
      <c r="O80" s="300">
        <f t="shared" ref="O80:O81" si="169">SUM(L80:N80)</f>
        <v>1.6150000000174116</v>
      </c>
      <c r="P80" s="300"/>
      <c r="Q80" s="300">
        <v>1.1420000000151462</v>
      </c>
      <c r="R80" s="300">
        <v>4.8000000000525844E-2</v>
      </c>
      <c r="S80" s="300">
        <v>0.23299999999961618</v>
      </c>
      <c r="T80" s="300">
        <f t="shared" ref="T80:T81" si="170">SUM(Q80:S80)</f>
        <v>1.4230000000152883</v>
      </c>
      <c r="U80" s="300"/>
      <c r="V80" s="300">
        <v>0.96100000001770258</v>
      </c>
      <c r="W80" s="300">
        <v>4.200000000076063E-2</v>
      </c>
      <c r="X80" s="300">
        <v>0.20000000000006504</v>
      </c>
      <c r="Y80" s="300">
        <f t="shared" ref="Y80:Y81" si="171">SUM(V80:X80)</f>
        <v>1.2030000000185281</v>
      </c>
    </row>
    <row r="81" spans="1:25" x14ac:dyDescent="0.2">
      <c r="A81" s="260" t="s">
        <v>354</v>
      </c>
      <c r="B81" s="300">
        <f>SUM(B79:B80)</f>
        <v>2.3209999999934077</v>
      </c>
      <c r="C81" s="300">
        <f t="shared" ref="C81" si="172">SUM(C79:C80)</f>
        <v>0.54900000000403359</v>
      </c>
      <c r="D81" s="300">
        <f t="shared" ref="D81" si="173">SUM(D79:D80)</f>
        <v>0.44300000000402434</v>
      </c>
      <c r="E81" s="300">
        <f t="shared" si="167"/>
        <v>3.3130000000014657</v>
      </c>
      <c r="F81" s="300"/>
      <c r="G81" s="300">
        <f>SUM(G79:G80)</f>
        <v>2.1520000000035862</v>
      </c>
      <c r="H81" s="300">
        <f t="shared" ref="H81" si="174">SUM(H79:H80)</f>
        <v>0.45800000000882973</v>
      </c>
      <c r="I81" s="300">
        <f t="shared" ref="I81" si="175">SUM(I79:I80)</f>
        <v>0.78500000000774384</v>
      </c>
      <c r="J81" s="300">
        <f t="shared" si="168"/>
        <v>3.3950000000201594</v>
      </c>
      <c r="K81" s="300"/>
      <c r="L81" s="300">
        <f>SUM(L79:L80)</f>
        <v>2.1780000000146114</v>
      </c>
      <c r="M81" s="300">
        <f t="shared" ref="M81" si="176">SUM(M79:M80)</f>
        <v>0.45500000000769103</v>
      </c>
      <c r="N81" s="300">
        <f t="shared" ref="N81" si="177">SUM(N79:N80)</f>
        <v>1.1119999999769705</v>
      </c>
      <c r="O81" s="300">
        <f t="shared" si="169"/>
        <v>3.7449999999992727</v>
      </c>
      <c r="P81" s="300"/>
      <c r="Q81" s="300">
        <f>SUM(Q79:Q80)</f>
        <v>1.9120000000004618</v>
      </c>
      <c r="R81" s="300">
        <f t="shared" ref="R81" si="178">SUM(R79:R80)</f>
        <v>0.3850000000090209</v>
      </c>
      <c r="S81" s="300">
        <f t="shared" ref="S81" si="179">SUM(S79:S80)</f>
        <v>0.96399999998824559</v>
      </c>
      <c r="T81" s="300">
        <f t="shared" si="170"/>
        <v>3.2609999999977282</v>
      </c>
      <c r="U81" s="300"/>
      <c r="V81" s="300">
        <f>SUM(V79:V80)</f>
        <v>1.6220000000208055</v>
      </c>
      <c r="W81" s="300">
        <f t="shared" ref="W81" si="180">SUM(W79:W80)</f>
        <v>0.32899999999730389</v>
      </c>
      <c r="X81" s="300">
        <f t="shared" ref="X81" si="181">SUM(X79:X80)</f>
        <v>0.81100000000308492</v>
      </c>
      <c r="Y81" s="300">
        <f t="shared" si="171"/>
        <v>2.7620000000211942</v>
      </c>
    </row>
    <row r="82" spans="1:25" x14ac:dyDescent="0.2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x14ac:dyDescent="0.2">
      <c r="A83" s="261" t="str">
        <f>name!A10</f>
        <v xml:space="preserve">Wood and cork </v>
      </c>
      <c r="C83" s="263"/>
    </row>
    <row r="84" spans="1:25" x14ac:dyDescent="0.2">
      <c r="A84" s="260" t="s">
        <v>356</v>
      </c>
      <c r="B84" s="300">
        <v>0.82199999999945683</v>
      </c>
      <c r="C84" s="300">
        <v>0.60399999999477438</v>
      </c>
      <c r="D84" s="300">
        <v>2.1000000000077668E-2</v>
      </c>
      <c r="E84" s="300">
        <f>SUM(B84:D84)</f>
        <v>1.4469999999943088</v>
      </c>
      <c r="F84" s="300"/>
      <c r="G84" s="300">
        <v>0.77699999998769753</v>
      </c>
      <c r="H84" s="300">
        <v>0.16800000000139065</v>
      </c>
      <c r="I84" s="300">
        <v>0.17100000000587903</v>
      </c>
      <c r="J84" s="300">
        <f>SUM(G84:I84)</f>
        <v>1.1159999999949672</v>
      </c>
      <c r="K84" s="300"/>
      <c r="L84" s="300">
        <v>0.79699999999110516</v>
      </c>
      <c r="M84" s="300">
        <v>0.11600000000045832</v>
      </c>
      <c r="N84" s="300">
        <v>9.399999999998121E-2</v>
      </c>
      <c r="O84" s="300">
        <f>SUM(L84:N84)</f>
        <v>1.0069999999915447</v>
      </c>
      <c r="P84" s="300"/>
      <c r="Q84" s="300">
        <v>0.86399999999973931</v>
      </c>
      <c r="R84" s="300">
        <v>0.12600000000148712</v>
      </c>
      <c r="S84" s="300">
        <v>0.10200000000262913</v>
      </c>
      <c r="T84" s="300">
        <f>SUM(Q84:S84)</f>
        <v>1.0920000000038557</v>
      </c>
      <c r="U84" s="300"/>
      <c r="V84" s="300">
        <v>0.84700000000708719</v>
      </c>
      <c r="W84" s="300">
        <v>0.12499999999814959</v>
      </c>
      <c r="X84" s="300">
        <v>0.10799999999809103</v>
      </c>
      <c r="Y84" s="300">
        <f>SUM(V84:X84)</f>
        <v>1.0800000000033279</v>
      </c>
    </row>
    <row r="85" spans="1:25" x14ac:dyDescent="0.2">
      <c r="A85" s="260" t="s">
        <v>355</v>
      </c>
      <c r="B85" s="300">
        <v>3.5200000000077902</v>
      </c>
      <c r="C85" s="300">
        <v>0.52900000000590419</v>
      </c>
      <c r="D85" s="300">
        <v>0.92799999999156291</v>
      </c>
      <c r="E85" s="300">
        <f t="shared" ref="E85:E86" si="182">SUM(B85:D85)</f>
        <v>4.9770000000052574</v>
      </c>
      <c r="F85" s="300"/>
      <c r="G85" s="300">
        <v>2.4150000000090555</v>
      </c>
      <c r="H85" s="300">
        <v>0.20300000000221821</v>
      </c>
      <c r="I85" s="300">
        <v>0.46000000000257557</v>
      </c>
      <c r="J85" s="300">
        <f t="shared" ref="J85:J86" si="183">SUM(G85:I85)</f>
        <v>3.0780000000138492</v>
      </c>
      <c r="K85" s="300"/>
      <c r="L85" s="300">
        <v>2.4060000000265349</v>
      </c>
      <c r="M85" s="300">
        <v>0.21500000000194591</v>
      </c>
      <c r="N85" s="300">
        <v>0.85399999999010145</v>
      </c>
      <c r="O85" s="300">
        <f t="shared" ref="O85:O86" si="184">SUM(L85:N85)</f>
        <v>3.4750000000185821</v>
      </c>
      <c r="P85" s="300"/>
      <c r="Q85" s="300">
        <v>2.5580000000358547</v>
      </c>
      <c r="R85" s="300">
        <v>0.23700000000184307</v>
      </c>
      <c r="S85" s="300">
        <v>0.85699999996984499</v>
      </c>
      <c r="T85" s="300">
        <f t="shared" ref="T85:T86" si="185">SUM(Q85:S85)</f>
        <v>3.6520000000075425</v>
      </c>
      <c r="U85" s="300"/>
      <c r="V85" s="300">
        <v>2.4440000000477879</v>
      </c>
      <c r="W85" s="300">
        <v>0.23800000000286184</v>
      </c>
      <c r="X85" s="300">
        <v>0.78399999998305947</v>
      </c>
      <c r="Y85" s="300">
        <f t="shared" ref="Y85:Y86" si="186">SUM(V85:X85)</f>
        <v>3.4660000000337092</v>
      </c>
    </row>
    <row r="86" spans="1:25" x14ac:dyDescent="0.2">
      <c r="A86" s="260" t="s">
        <v>354</v>
      </c>
      <c r="B86" s="300">
        <f>SUM(B84:B85)</f>
        <v>4.3420000000072472</v>
      </c>
      <c r="C86" s="300">
        <f t="shared" ref="C86" si="187">SUM(C84:C85)</f>
        <v>1.1330000000006786</v>
      </c>
      <c r="D86" s="300">
        <f t="shared" ref="D86" si="188">SUM(D84:D85)</f>
        <v>0.94899999999164053</v>
      </c>
      <c r="E86" s="300">
        <f t="shared" si="182"/>
        <v>6.4239999999995661</v>
      </c>
      <c r="F86" s="300"/>
      <c r="G86" s="300">
        <f>SUM(G84:G85)</f>
        <v>3.191999999996753</v>
      </c>
      <c r="H86" s="300">
        <f t="shared" ref="H86" si="189">SUM(H84:H85)</f>
        <v>0.37100000000360889</v>
      </c>
      <c r="I86" s="300">
        <f t="shared" ref="I86" si="190">SUM(I84:I85)</f>
        <v>0.63100000000845458</v>
      </c>
      <c r="J86" s="300">
        <f t="shared" si="183"/>
        <v>4.1940000000088169</v>
      </c>
      <c r="K86" s="300"/>
      <c r="L86" s="300">
        <f>SUM(L84:L85)</f>
        <v>3.20300000001764</v>
      </c>
      <c r="M86" s="300">
        <f t="shared" ref="M86" si="191">SUM(M84:M85)</f>
        <v>0.33100000000240426</v>
      </c>
      <c r="N86" s="300">
        <f t="shared" ref="N86" si="192">SUM(N84:N85)</f>
        <v>0.94799999999008266</v>
      </c>
      <c r="O86" s="300">
        <f t="shared" si="184"/>
        <v>4.4820000000101272</v>
      </c>
      <c r="P86" s="300"/>
      <c r="Q86" s="300">
        <f>SUM(Q84:Q85)</f>
        <v>3.4220000000355939</v>
      </c>
      <c r="R86" s="300">
        <f t="shared" ref="R86" si="193">SUM(R84:R85)</f>
        <v>0.36300000000333021</v>
      </c>
      <c r="S86" s="300">
        <f t="shared" ref="S86" si="194">SUM(S84:S85)</f>
        <v>0.95899999997247409</v>
      </c>
      <c r="T86" s="300">
        <f t="shared" si="185"/>
        <v>4.7440000000113987</v>
      </c>
      <c r="U86" s="300"/>
      <c r="V86" s="300">
        <f>SUM(V84:V85)</f>
        <v>3.2910000000548751</v>
      </c>
      <c r="W86" s="300">
        <f t="shared" ref="W86" si="195">SUM(W84:W85)</f>
        <v>0.3630000000010114</v>
      </c>
      <c r="X86" s="300">
        <f t="shared" ref="X86" si="196">SUM(X84:X85)</f>
        <v>0.89199999998115054</v>
      </c>
      <c r="Y86" s="300">
        <f t="shared" si="186"/>
        <v>4.5460000000370373</v>
      </c>
    </row>
    <row r="87" spans="1:25" x14ac:dyDescent="0.2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x14ac:dyDescent="0.2">
      <c r="A88" s="261" t="str">
        <f>name!A11</f>
        <v>Paper, etc</v>
      </c>
      <c r="C88" s="263"/>
    </row>
    <row r="89" spans="1:25" x14ac:dyDescent="0.2">
      <c r="A89" s="260" t="s">
        <v>356</v>
      </c>
      <c r="B89" s="300">
        <v>0.16199999999905496</v>
      </c>
      <c r="C89" s="300">
        <v>8.9999999999685804E-2</v>
      </c>
      <c r="D89" s="300">
        <v>2.6000000000471056E-2</v>
      </c>
      <c r="E89" s="300">
        <f>SUM(B89:D89)</f>
        <v>0.27799999999921182</v>
      </c>
      <c r="F89" s="300"/>
      <c r="G89" s="300">
        <v>0.21699999999642713</v>
      </c>
      <c r="H89" s="300">
        <v>1.1000000000247518E-2</v>
      </c>
      <c r="I89" s="300">
        <v>0.15300000000102373</v>
      </c>
      <c r="J89" s="300">
        <f>SUM(G89:I89)</f>
        <v>0.3809999999976984</v>
      </c>
      <c r="K89" s="300"/>
      <c r="L89" s="300">
        <v>0.22299999999738335</v>
      </c>
      <c r="M89" s="300">
        <v>7.0000000001341741E-3</v>
      </c>
      <c r="N89" s="300">
        <v>0.15799999999775644</v>
      </c>
      <c r="O89" s="300">
        <f>SUM(L89:N89)</f>
        <v>0.38799999999527396</v>
      </c>
      <c r="P89" s="300"/>
      <c r="Q89" s="300">
        <v>0.24200000000308045</v>
      </c>
      <c r="R89" s="300">
        <v>8.0000000003414163E-3</v>
      </c>
      <c r="S89" s="300">
        <v>0.17099999999933579</v>
      </c>
      <c r="T89" s="300">
        <f>SUM(Q89:S89)</f>
        <v>0.42100000000275767</v>
      </c>
      <c r="U89" s="300"/>
      <c r="V89" s="300">
        <v>0.23700000000107535</v>
      </c>
      <c r="W89" s="300">
        <v>7.9999999998797595E-3</v>
      </c>
      <c r="X89" s="300">
        <v>0.18199999999942562</v>
      </c>
      <c r="Y89" s="300">
        <f>SUM(V89:X89)</f>
        <v>0.42700000000038074</v>
      </c>
    </row>
    <row r="90" spans="1:25" x14ac:dyDescent="0.2">
      <c r="A90" s="260" t="s">
        <v>355</v>
      </c>
      <c r="B90" s="300">
        <v>3.5270000000018698</v>
      </c>
      <c r="C90" s="300">
        <v>0.35900000000299054</v>
      </c>
      <c r="D90" s="300">
        <v>0.7270000000100304</v>
      </c>
      <c r="E90" s="300">
        <f t="shared" ref="E90:E91" si="197">SUM(B90:D90)</f>
        <v>4.6130000000148907</v>
      </c>
      <c r="F90" s="300"/>
      <c r="G90" s="300">
        <v>3.4280000000060165</v>
      </c>
      <c r="H90" s="300">
        <v>5.9000000000474825E-2</v>
      </c>
      <c r="I90" s="300">
        <v>0.48500000000317312</v>
      </c>
      <c r="J90" s="300">
        <f t="shared" ref="J90:J91" si="198">SUM(G90:I90)</f>
        <v>3.9720000000096647</v>
      </c>
      <c r="K90" s="300"/>
      <c r="L90" s="300">
        <v>3.4160000000206163</v>
      </c>
      <c r="M90" s="300">
        <v>6.200000000040181E-2</v>
      </c>
      <c r="N90" s="300">
        <v>9.0000000001135852E-2</v>
      </c>
      <c r="O90" s="300">
        <f t="shared" ref="O90:O91" si="199">SUM(L90:N90)</f>
        <v>3.5680000000221539</v>
      </c>
      <c r="P90" s="300"/>
      <c r="Q90" s="300">
        <v>3.6310000000320426</v>
      </c>
      <c r="R90" s="300">
        <v>6.9000000000356707E-2</v>
      </c>
      <c r="S90" s="300">
        <v>0.1060000000040455</v>
      </c>
      <c r="T90" s="300">
        <f t="shared" ref="T90:T91" si="200">SUM(Q90:S90)</f>
        <v>3.8060000000364447</v>
      </c>
      <c r="U90" s="300"/>
      <c r="V90" s="300">
        <v>3.4690000000373731</v>
      </c>
      <c r="W90" s="300">
        <v>6.9000000000548262E-2</v>
      </c>
      <c r="X90" s="300">
        <v>0.1150000000038372</v>
      </c>
      <c r="Y90" s="300">
        <f t="shared" ref="Y90:Y91" si="201">SUM(V90:X90)</f>
        <v>3.6530000000417586</v>
      </c>
    </row>
    <row r="91" spans="1:25" x14ac:dyDescent="0.2">
      <c r="A91" s="260" t="s">
        <v>354</v>
      </c>
      <c r="B91" s="300">
        <f>SUM(B89:B90)</f>
        <v>3.6890000000009247</v>
      </c>
      <c r="C91" s="300">
        <f t="shared" ref="C91" si="202">SUM(C89:C90)</f>
        <v>0.44900000000267637</v>
      </c>
      <c r="D91" s="300">
        <f t="shared" ref="D91" si="203">SUM(D89:D90)</f>
        <v>0.75300000001050149</v>
      </c>
      <c r="E91" s="300">
        <f t="shared" si="197"/>
        <v>4.8910000000141025</v>
      </c>
      <c r="F91" s="300"/>
      <c r="G91" s="300">
        <f>SUM(G89:G90)</f>
        <v>3.6450000000024434</v>
      </c>
      <c r="H91" s="300">
        <f t="shared" ref="H91" si="204">SUM(H89:H90)</f>
        <v>7.0000000000722346E-2</v>
      </c>
      <c r="I91" s="300">
        <f t="shared" ref="I91" si="205">SUM(I89:I90)</f>
        <v>0.63800000000419688</v>
      </c>
      <c r="J91" s="300">
        <f t="shared" si="198"/>
        <v>4.3530000000073628</v>
      </c>
      <c r="K91" s="300"/>
      <c r="L91" s="300">
        <f>SUM(L89:L90)</f>
        <v>3.6390000000179996</v>
      </c>
      <c r="M91" s="300">
        <f t="shared" ref="M91" si="206">SUM(M89:M90)</f>
        <v>6.900000000053598E-2</v>
      </c>
      <c r="N91" s="300">
        <f t="shared" ref="N91" si="207">SUM(N89:N90)</f>
        <v>0.24799999999889227</v>
      </c>
      <c r="O91" s="300">
        <f t="shared" si="199"/>
        <v>3.9560000000174278</v>
      </c>
      <c r="P91" s="300"/>
      <c r="Q91" s="300">
        <f>SUM(Q89:Q90)</f>
        <v>3.8730000000351232</v>
      </c>
      <c r="R91" s="300">
        <f t="shared" ref="R91" si="208">SUM(R89:R90)</f>
        <v>7.7000000000698121E-2</v>
      </c>
      <c r="S91" s="300">
        <f t="shared" ref="S91" si="209">SUM(S89:S90)</f>
        <v>0.27700000000338132</v>
      </c>
      <c r="T91" s="300">
        <f t="shared" si="200"/>
        <v>4.2270000000392027</v>
      </c>
      <c r="U91" s="300"/>
      <c r="V91" s="300">
        <f>SUM(V89:V90)</f>
        <v>3.7060000000384483</v>
      </c>
      <c r="W91" s="300">
        <f t="shared" ref="W91" si="210">SUM(W89:W90)</f>
        <v>7.7000000000428018E-2</v>
      </c>
      <c r="X91" s="300">
        <f t="shared" ref="X91" si="211">SUM(X89:X90)</f>
        <v>0.29700000000326282</v>
      </c>
      <c r="Y91" s="300">
        <f t="shared" si="201"/>
        <v>4.0800000000421388</v>
      </c>
    </row>
    <row r="92" spans="1:25" x14ac:dyDescent="0.2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x14ac:dyDescent="0.2">
      <c r="A93" s="261" t="str">
        <f>name!A12</f>
        <v>Printing and recording</v>
      </c>
      <c r="C93" s="263"/>
    </row>
    <row r="94" spans="1:25" x14ac:dyDescent="0.2">
      <c r="A94" s="260" t="s">
        <v>356</v>
      </c>
      <c r="B94" s="300">
        <v>1.4559999999962749</v>
      </c>
      <c r="C94" s="300">
        <v>0.46799999999809949</v>
      </c>
      <c r="D94" s="300">
        <v>0.11200000000336234</v>
      </c>
      <c r="E94" s="300">
        <f>SUM(B94:D94)</f>
        <v>2.035999999997737</v>
      </c>
      <c r="F94" s="300"/>
      <c r="G94" s="300">
        <v>1.8119999999621643</v>
      </c>
      <c r="H94" s="300">
        <v>0.5550000000051224</v>
      </c>
      <c r="I94" s="300">
        <v>0.11399999999991907</v>
      </c>
      <c r="J94" s="300">
        <f>SUM(G94:I94)</f>
        <v>2.4809999999672057</v>
      </c>
      <c r="K94" s="300"/>
      <c r="L94" s="300">
        <v>1.7579999999742786</v>
      </c>
      <c r="M94" s="300">
        <v>0.44200000000278955</v>
      </c>
      <c r="N94" s="300">
        <v>0.71299999997512631</v>
      </c>
      <c r="O94" s="300">
        <f>SUM(L94:N94)</f>
        <v>2.9129999999521945</v>
      </c>
      <c r="P94" s="300"/>
      <c r="Q94" s="300">
        <v>1.6350000000106464</v>
      </c>
      <c r="R94" s="300">
        <v>0.4130000000053729</v>
      </c>
      <c r="S94" s="300">
        <v>0.65799999998079861</v>
      </c>
      <c r="T94" s="300">
        <f>SUM(Q94:S94)</f>
        <v>2.7059999999968181</v>
      </c>
      <c r="U94" s="300"/>
      <c r="V94" s="300">
        <v>1.3800000000104451</v>
      </c>
      <c r="W94" s="300">
        <v>0.35199999999833426</v>
      </c>
      <c r="X94" s="300">
        <v>0.55000000000768723</v>
      </c>
      <c r="Y94" s="300">
        <f>SUM(V94:X94)</f>
        <v>2.2820000000164669</v>
      </c>
    </row>
    <row r="95" spans="1:25" x14ac:dyDescent="0.2">
      <c r="A95" s="260" t="s">
        <v>355</v>
      </c>
      <c r="B95" s="300">
        <v>5.3299999999903456</v>
      </c>
      <c r="C95" s="300">
        <v>0.21700000000180739</v>
      </c>
      <c r="D95" s="300">
        <v>0.8920000000157966</v>
      </c>
      <c r="E95" s="300">
        <f t="shared" ref="E95:E96" si="212">SUM(B95:D95)</f>
        <v>6.4390000000079493</v>
      </c>
      <c r="F95" s="300"/>
      <c r="G95" s="300">
        <v>5.8649999999962352</v>
      </c>
      <c r="H95" s="300">
        <v>0.43300000000348476</v>
      </c>
      <c r="I95" s="300">
        <v>0.49500000000322647</v>
      </c>
      <c r="J95" s="300">
        <f t="shared" ref="J95:J96" si="213">SUM(G95:I95)</f>
        <v>6.7930000000029471</v>
      </c>
      <c r="K95" s="300"/>
      <c r="L95" s="300">
        <v>5.6050000000030629</v>
      </c>
      <c r="M95" s="300">
        <v>0.43600000000282535</v>
      </c>
      <c r="N95" s="300">
        <v>0.43900000000556805</v>
      </c>
      <c r="O95" s="300">
        <f t="shared" ref="O95:O96" si="214">SUM(L95:N95)</f>
        <v>6.4800000000114562</v>
      </c>
      <c r="P95" s="300"/>
      <c r="Q95" s="300">
        <v>5.0250000000204746</v>
      </c>
      <c r="R95" s="300">
        <v>0.40400000000207559</v>
      </c>
      <c r="S95" s="300">
        <v>0.41400000001281112</v>
      </c>
      <c r="T95" s="300">
        <f t="shared" ref="T95:T96" si="215">SUM(Q95:S95)</f>
        <v>5.843000000035361</v>
      </c>
      <c r="U95" s="300"/>
      <c r="V95" s="300">
        <v>3.948000000015885</v>
      </c>
      <c r="W95" s="300">
        <v>0.33900000000263869</v>
      </c>
      <c r="X95" s="300">
        <v>0.36000000000889643</v>
      </c>
      <c r="Y95" s="300">
        <f t="shared" ref="Y95:Y96" si="216">SUM(V95:X95)</f>
        <v>4.6470000000274201</v>
      </c>
    </row>
    <row r="96" spans="1:25" x14ac:dyDescent="0.2">
      <c r="A96" s="260" t="s">
        <v>354</v>
      </c>
      <c r="B96" s="300">
        <f>SUM(B94:B95)</f>
        <v>6.7859999999866201</v>
      </c>
      <c r="C96" s="300">
        <f t="shared" ref="C96" si="217">SUM(C94:C95)</f>
        <v>0.68499999999990691</v>
      </c>
      <c r="D96" s="300">
        <f t="shared" ref="D96" si="218">SUM(D94:D95)</f>
        <v>1.0040000000191589</v>
      </c>
      <c r="E96" s="300">
        <f t="shared" si="212"/>
        <v>8.4750000000056858</v>
      </c>
      <c r="F96" s="300"/>
      <c r="G96" s="300">
        <f>SUM(G94:G95)</f>
        <v>7.6769999999583991</v>
      </c>
      <c r="H96" s="300">
        <f t="shared" ref="H96" si="219">SUM(H94:H95)</f>
        <v>0.9880000000086071</v>
      </c>
      <c r="I96" s="300">
        <f t="shared" ref="I96" si="220">SUM(I94:I95)</f>
        <v>0.60900000000314558</v>
      </c>
      <c r="J96" s="300">
        <f t="shared" si="213"/>
        <v>9.2739999999701528</v>
      </c>
      <c r="K96" s="300"/>
      <c r="L96" s="300">
        <f>SUM(L94:L95)</f>
        <v>7.3629999999773412</v>
      </c>
      <c r="M96" s="300">
        <f t="shared" ref="M96" si="221">SUM(M94:M95)</f>
        <v>0.87800000000561496</v>
      </c>
      <c r="N96" s="300">
        <f t="shared" ref="N96" si="222">SUM(N94:N95)</f>
        <v>1.1519999999806942</v>
      </c>
      <c r="O96" s="300">
        <f t="shared" si="214"/>
        <v>9.3929999999636493</v>
      </c>
      <c r="P96" s="300"/>
      <c r="Q96" s="300">
        <f>SUM(Q94:Q95)</f>
        <v>6.660000000031121</v>
      </c>
      <c r="R96" s="300">
        <f t="shared" ref="R96" si="223">SUM(R94:R95)</f>
        <v>0.81700000000744843</v>
      </c>
      <c r="S96" s="300">
        <f t="shared" ref="S96" si="224">SUM(S94:S95)</f>
        <v>1.0719999999936096</v>
      </c>
      <c r="T96" s="300">
        <f t="shared" si="215"/>
        <v>8.54900000003218</v>
      </c>
      <c r="U96" s="300"/>
      <c r="V96" s="300">
        <f>SUM(V94:V95)</f>
        <v>5.3280000000263303</v>
      </c>
      <c r="W96" s="300">
        <f t="shared" ref="W96" si="225">SUM(W94:W95)</f>
        <v>0.69100000000097295</v>
      </c>
      <c r="X96" s="300">
        <f t="shared" ref="X96" si="226">SUM(X94:X95)</f>
        <v>0.91000000001658365</v>
      </c>
      <c r="Y96" s="300">
        <f t="shared" si="216"/>
        <v>6.9290000000438869</v>
      </c>
    </row>
    <row r="97" spans="1:25" x14ac:dyDescent="0.2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1" t="str">
        <f>name!A13</f>
        <v>Coke and petroleum; Chemicals, etc</v>
      </c>
      <c r="C98" s="263"/>
    </row>
    <row r="99" spans="1:25" x14ac:dyDescent="0.2">
      <c r="A99" s="260" t="s">
        <v>356</v>
      </c>
      <c r="B99" s="300">
        <v>1.6149999999901778</v>
      </c>
      <c r="C99" s="300">
        <v>0.1640000000002711</v>
      </c>
      <c r="D99" s="300">
        <v>4.2000000000333701E-2</v>
      </c>
      <c r="E99" s="300">
        <f>SUM(B99:D99)</f>
        <v>1.8209999999907827</v>
      </c>
      <c r="F99" s="300"/>
      <c r="G99" s="300">
        <v>2.2179999999606919</v>
      </c>
      <c r="H99" s="300">
        <v>0.21100000000437838</v>
      </c>
      <c r="I99" s="300">
        <v>0.5390000000135694</v>
      </c>
      <c r="J99" s="300">
        <f>SUM(G99:I99)</f>
        <v>2.9679999999786397</v>
      </c>
      <c r="K99" s="300"/>
      <c r="L99" s="300">
        <v>2.2729999999711112</v>
      </c>
      <c r="M99" s="300">
        <v>0.21800000000392306</v>
      </c>
      <c r="N99" s="300">
        <v>0.73399999999557231</v>
      </c>
      <c r="O99" s="300">
        <f>SUM(L99:N99)</f>
        <v>3.2249999999706067</v>
      </c>
      <c r="P99" s="300"/>
      <c r="Q99" s="300">
        <v>2.5180000000300011</v>
      </c>
      <c r="R99" s="300">
        <v>0.24400000000924849</v>
      </c>
      <c r="S99" s="300">
        <v>0.78500000001086756</v>
      </c>
      <c r="T99" s="300">
        <f>SUM(Q99:S99)</f>
        <v>3.547000000050117</v>
      </c>
      <c r="U99" s="300"/>
      <c r="V99" s="300">
        <v>2.8270000000159938</v>
      </c>
      <c r="W99" s="300">
        <v>0.27299999999747165</v>
      </c>
      <c r="X99" s="300">
        <v>0.82599999999229901</v>
      </c>
      <c r="Y99" s="300">
        <f>SUM(V99:X99)</f>
        <v>3.9260000000057644</v>
      </c>
    </row>
    <row r="100" spans="1:25" x14ac:dyDescent="0.2">
      <c r="A100" s="260" t="s">
        <v>355</v>
      </c>
      <c r="B100" s="300">
        <v>3.3759999999882697</v>
      </c>
      <c r="C100" s="300">
        <v>0.13200000000070178</v>
      </c>
      <c r="D100" s="300">
        <v>0.33300000000205998</v>
      </c>
      <c r="E100" s="300">
        <f t="shared" ref="E100:E101" si="227">SUM(B100:D100)</f>
        <v>3.8409999999910314</v>
      </c>
      <c r="F100" s="300"/>
      <c r="G100" s="300">
        <v>4.0849999999898241</v>
      </c>
      <c r="H100" s="300">
        <v>0.12400000000052137</v>
      </c>
      <c r="I100" s="300">
        <v>0.56800000000600626</v>
      </c>
      <c r="J100" s="300">
        <f t="shared" ref="J100:J101" si="228">SUM(G100:I100)</f>
        <v>4.7769999999963515</v>
      </c>
      <c r="K100" s="300"/>
      <c r="L100" s="300">
        <v>4.036999999981342</v>
      </c>
      <c r="M100" s="300">
        <v>0.2040000000016326</v>
      </c>
      <c r="N100" s="300">
        <v>0.40900000000297154</v>
      </c>
      <c r="O100" s="300">
        <f t="shared" ref="O100:O101" si="229">SUM(L100:N100)</f>
        <v>4.6499999999859458</v>
      </c>
      <c r="P100" s="300"/>
      <c r="Q100" s="300">
        <v>4.3129999999945321</v>
      </c>
      <c r="R100" s="300">
        <v>0.2270000000011686</v>
      </c>
      <c r="S100" s="300">
        <v>0.44100000000564787</v>
      </c>
      <c r="T100" s="300">
        <f t="shared" ref="T100:T101" si="230">SUM(Q100:S100)</f>
        <v>4.9810000000013481</v>
      </c>
      <c r="U100" s="300"/>
      <c r="V100" s="300">
        <v>4.5419999999830134</v>
      </c>
      <c r="W100" s="300">
        <v>0.25600000000249534</v>
      </c>
      <c r="X100" s="300">
        <v>0.47500000000764619</v>
      </c>
      <c r="Y100" s="300">
        <f t="shared" ref="Y100:Y101" si="231">SUM(V100:X100)</f>
        <v>5.2729999999931545</v>
      </c>
    </row>
    <row r="101" spans="1:25" x14ac:dyDescent="0.2">
      <c r="A101" s="260" t="s">
        <v>354</v>
      </c>
      <c r="B101" s="300">
        <f>SUM(B99:B100)</f>
        <v>4.9909999999784471</v>
      </c>
      <c r="C101" s="300">
        <f t="shared" ref="C101" si="232">SUM(C99:C100)</f>
        <v>0.29600000000097287</v>
      </c>
      <c r="D101" s="300">
        <f t="shared" ref="D101" si="233">SUM(D99:D100)</f>
        <v>0.3750000000023937</v>
      </c>
      <c r="E101" s="300">
        <f t="shared" si="227"/>
        <v>5.6619999999818136</v>
      </c>
      <c r="F101" s="300"/>
      <c r="G101" s="300">
        <f>SUM(G99:G100)</f>
        <v>6.302999999950516</v>
      </c>
      <c r="H101" s="300">
        <f t="shared" ref="H101" si="234">SUM(H99:H100)</f>
        <v>0.33500000000489977</v>
      </c>
      <c r="I101" s="300">
        <f t="shared" ref="I101" si="235">SUM(I99:I100)</f>
        <v>1.1070000000195757</v>
      </c>
      <c r="J101" s="300">
        <f t="shared" si="228"/>
        <v>7.7449999999749917</v>
      </c>
      <c r="K101" s="300"/>
      <c r="L101" s="300">
        <f>SUM(L99:L100)</f>
        <v>6.3099999999524528</v>
      </c>
      <c r="M101" s="300">
        <f t="shared" ref="M101" si="236">SUM(M99:M100)</f>
        <v>0.42200000000555565</v>
      </c>
      <c r="N101" s="300">
        <f t="shared" ref="N101" si="237">SUM(N99:N100)</f>
        <v>1.1429999999985438</v>
      </c>
      <c r="O101" s="300">
        <f t="shared" si="229"/>
        <v>7.8749999999565521</v>
      </c>
      <c r="P101" s="300"/>
      <c r="Q101" s="300">
        <f>SUM(Q99:Q100)</f>
        <v>6.8310000000245328</v>
      </c>
      <c r="R101" s="300">
        <f t="shared" ref="R101" si="238">SUM(R99:R100)</f>
        <v>0.47100000001041709</v>
      </c>
      <c r="S101" s="300">
        <f t="shared" ref="S101" si="239">SUM(S99:S100)</f>
        <v>1.2260000000165154</v>
      </c>
      <c r="T101" s="300">
        <f t="shared" si="230"/>
        <v>8.5280000000514651</v>
      </c>
      <c r="U101" s="300"/>
      <c r="V101" s="300">
        <f>SUM(V99:V100)</f>
        <v>7.3689999999990068</v>
      </c>
      <c r="W101" s="300">
        <f t="shared" ref="W101" si="240">SUM(W99:W100)</f>
        <v>0.52899999999996705</v>
      </c>
      <c r="X101" s="300">
        <f t="shared" ref="X101" si="241">SUM(X99:X100)</f>
        <v>1.3009999999999451</v>
      </c>
      <c r="Y101" s="300">
        <f t="shared" si="231"/>
        <v>9.198999999998918</v>
      </c>
    </row>
    <row r="102" spans="1:25" x14ac:dyDescent="0.2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x14ac:dyDescent="0.2">
      <c r="A103" s="261" t="str">
        <f>name!A14</f>
        <v>Pharmaceuticals</v>
      </c>
      <c r="C103" s="263"/>
    </row>
    <row r="104" spans="1:25" x14ac:dyDescent="0.2">
      <c r="A104" s="260" t="s">
        <v>356</v>
      </c>
      <c r="B104" s="300">
        <v>0.75700000000095968</v>
      </c>
      <c r="C104" s="300">
        <v>0.10199999999959142</v>
      </c>
      <c r="D104" s="300">
        <v>4.5000000000693034E-2</v>
      </c>
      <c r="E104" s="300">
        <f>SUM(B104:D104)</f>
        <v>0.90400000000124414</v>
      </c>
      <c r="F104" s="300"/>
      <c r="G104" s="300">
        <v>1.3279999999782586</v>
      </c>
      <c r="H104" s="300">
        <v>0.56600000000260831</v>
      </c>
      <c r="I104" s="300">
        <v>0.23900000000523008</v>
      </c>
      <c r="J104" s="300">
        <f>SUM(G104:I104)</f>
        <v>2.1329999999860969</v>
      </c>
      <c r="K104" s="300"/>
      <c r="L104" s="300">
        <v>1.4289999999840104</v>
      </c>
      <c r="M104" s="300">
        <v>0.53500000000119552</v>
      </c>
      <c r="N104" s="300">
        <v>0.30199999999550348</v>
      </c>
      <c r="O104" s="300">
        <f>SUM(L104:N104)</f>
        <v>2.2659999999807097</v>
      </c>
      <c r="P104" s="300"/>
      <c r="Q104" s="300">
        <v>1.5949999999944</v>
      </c>
      <c r="R104" s="300">
        <v>0.64500000000581148</v>
      </c>
      <c r="S104" s="300">
        <v>0.36600000000393557</v>
      </c>
      <c r="T104" s="300">
        <f>SUM(Q104:S104)</f>
        <v>2.6060000000041472</v>
      </c>
      <c r="U104" s="300"/>
      <c r="V104" s="300">
        <v>1.5270000000145978</v>
      </c>
      <c r="W104" s="300">
        <v>0.71999999999666198</v>
      </c>
      <c r="X104" s="300">
        <v>0.40899999999557907</v>
      </c>
      <c r="Y104" s="300">
        <f>SUM(V104:X104)</f>
        <v>2.6560000000068387</v>
      </c>
    </row>
    <row r="105" spans="1:25" x14ac:dyDescent="0.2">
      <c r="A105" s="260" t="s">
        <v>355</v>
      </c>
      <c r="B105" s="300">
        <v>1.4529999999942074</v>
      </c>
      <c r="C105" s="300">
        <v>5.4000000000357519E-2</v>
      </c>
      <c r="D105" s="300">
        <v>0.17600000000121963</v>
      </c>
      <c r="E105" s="300">
        <f t="shared" ref="E105:E106" si="242">SUM(B105:D105)</f>
        <v>1.6829999999957845</v>
      </c>
      <c r="F105" s="300"/>
      <c r="G105" s="300">
        <v>2.1719999999930319</v>
      </c>
      <c r="H105" s="300">
        <v>0.23900000000136737</v>
      </c>
      <c r="I105" s="300">
        <v>0.47300000000190667</v>
      </c>
      <c r="J105" s="300">
        <f t="shared" ref="J105:J106" si="243">SUM(G105:I105)</f>
        <v>2.883999999996306</v>
      </c>
      <c r="K105" s="300"/>
      <c r="L105" s="300">
        <v>2.305999999983376</v>
      </c>
      <c r="M105" s="300">
        <v>0.13100000000128942</v>
      </c>
      <c r="N105" s="300">
        <v>0.4140000000034359</v>
      </c>
      <c r="O105" s="300">
        <f t="shared" ref="O105:O106" si="244">SUM(L105:N105)</f>
        <v>2.8509999999881015</v>
      </c>
      <c r="P105" s="300"/>
      <c r="Q105" s="300">
        <v>2.6159999999881127</v>
      </c>
      <c r="R105" s="300">
        <v>0.16900000000100154</v>
      </c>
      <c r="S105" s="300">
        <v>0.49200000000939431</v>
      </c>
      <c r="T105" s="300">
        <f t="shared" ref="T105:T106" si="245">SUM(Q105:S105)</f>
        <v>3.2769999999985084</v>
      </c>
      <c r="U105" s="300"/>
      <c r="V105" s="300">
        <v>2.6119999999812258</v>
      </c>
      <c r="W105" s="300">
        <v>0.20900000000186833</v>
      </c>
      <c r="X105" s="300">
        <v>0.53500000000831571</v>
      </c>
      <c r="Y105" s="300">
        <f t="shared" ref="Y105:Y106" si="246">SUM(V105:X105)</f>
        <v>3.3559999999914099</v>
      </c>
    </row>
    <row r="106" spans="1:25" x14ac:dyDescent="0.2">
      <c r="A106" s="260" t="s">
        <v>354</v>
      </c>
      <c r="B106" s="300">
        <f>SUM(B104:B105)</f>
        <v>2.2099999999951669</v>
      </c>
      <c r="C106" s="300">
        <f t="shared" ref="C106" si="247">SUM(C104:C105)</f>
        <v>0.15599999999994893</v>
      </c>
      <c r="D106" s="300">
        <f t="shared" ref="D106" si="248">SUM(D104:D105)</f>
        <v>0.22100000000191267</v>
      </c>
      <c r="E106" s="300">
        <f t="shared" si="242"/>
        <v>2.5869999999970288</v>
      </c>
      <c r="F106" s="300"/>
      <c r="G106" s="300">
        <f>SUM(G104:G105)</f>
        <v>3.4999999999712905</v>
      </c>
      <c r="H106" s="300">
        <f t="shared" ref="H106" si="249">SUM(H104:H105)</f>
        <v>0.80500000000397565</v>
      </c>
      <c r="I106" s="300">
        <f t="shared" ref="I106" si="250">SUM(I104:I105)</f>
        <v>0.7120000000071367</v>
      </c>
      <c r="J106" s="300">
        <f t="shared" si="243"/>
        <v>5.0169999999824029</v>
      </c>
      <c r="K106" s="300"/>
      <c r="L106" s="300">
        <f>SUM(L104:L105)</f>
        <v>3.7349999999673864</v>
      </c>
      <c r="M106" s="300">
        <f t="shared" ref="M106" si="251">SUM(M104:M105)</f>
        <v>0.66600000000248494</v>
      </c>
      <c r="N106" s="300">
        <f t="shared" ref="N106" si="252">SUM(N104:N105)</f>
        <v>0.71599999999893937</v>
      </c>
      <c r="O106" s="300">
        <f t="shared" si="244"/>
        <v>5.1169999999688107</v>
      </c>
      <c r="P106" s="300"/>
      <c r="Q106" s="300">
        <f>SUM(Q104:Q105)</f>
        <v>4.210999999982513</v>
      </c>
      <c r="R106" s="300">
        <f t="shared" ref="R106" si="253">SUM(R104:R105)</f>
        <v>0.81400000000681305</v>
      </c>
      <c r="S106" s="300">
        <f t="shared" ref="S106" si="254">SUM(S104:S105)</f>
        <v>0.85800000001332988</v>
      </c>
      <c r="T106" s="300">
        <f t="shared" si="245"/>
        <v>5.8830000000026565</v>
      </c>
      <c r="U106" s="300"/>
      <c r="V106" s="300">
        <f>SUM(V104:V105)</f>
        <v>4.1389999999958231</v>
      </c>
      <c r="W106" s="300">
        <f t="shared" ref="W106" si="255">SUM(W104:W105)</f>
        <v>0.92899999999853033</v>
      </c>
      <c r="X106" s="300">
        <f t="shared" ref="X106" si="256">SUM(X104:X105)</f>
        <v>0.94400000000389483</v>
      </c>
      <c r="Y106" s="300">
        <f t="shared" si="246"/>
        <v>6.0119999999982481</v>
      </c>
    </row>
    <row r="107" spans="1:25" x14ac:dyDescent="0.2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x14ac:dyDescent="0.2">
      <c r="A108" s="261" t="str">
        <f>name!A15</f>
        <v>Rubber and plastic</v>
      </c>
      <c r="C108" s="263"/>
    </row>
    <row r="109" spans="1:25" x14ac:dyDescent="0.2">
      <c r="A109" s="260" t="s">
        <v>356</v>
      </c>
      <c r="B109" s="300">
        <v>1.6939999999837094</v>
      </c>
      <c r="C109" s="300">
        <v>0.4029999999985972</v>
      </c>
      <c r="D109" s="300">
        <v>0.11300000000146583</v>
      </c>
      <c r="E109" s="300">
        <f>SUM(B109:D109)</f>
        <v>2.2099999999837725</v>
      </c>
      <c r="F109" s="300"/>
      <c r="G109" s="300">
        <v>1.4739999999758826</v>
      </c>
      <c r="H109" s="300">
        <v>0.53400000001174575</v>
      </c>
      <c r="I109" s="300">
        <v>0.11700000000167624</v>
      </c>
      <c r="J109" s="300">
        <f>SUM(G109:I109)</f>
        <v>2.124999999989305</v>
      </c>
      <c r="K109" s="300"/>
      <c r="L109" s="300">
        <v>1.6159999999808845</v>
      </c>
      <c r="M109" s="300">
        <v>0.56300000001016215</v>
      </c>
      <c r="N109" s="300">
        <v>0.48599999999402416</v>
      </c>
      <c r="O109" s="300">
        <f>SUM(L109:N109)</f>
        <v>2.6649999999850706</v>
      </c>
      <c r="P109" s="300"/>
      <c r="Q109" s="300">
        <v>1.6000000000300221</v>
      </c>
      <c r="R109" s="300">
        <v>0.58000000002290886</v>
      </c>
      <c r="S109" s="300">
        <v>0.47900000000238696</v>
      </c>
      <c r="T109" s="300">
        <f>SUM(Q109:S109)</f>
        <v>2.6590000000553178</v>
      </c>
      <c r="U109" s="300"/>
      <c r="V109" s="300">
        <v>1.3810000000060794</v>
      </c>
      <c r="W109" s="300">
        <v>0.54399999999358606</v>
      </c>
      <c r="X109" s="300">
        <v>0.41299999999727682</v>
      </c>
      <c r="Y109" s="300">
        <f>SUM(V109:X109)</f>
        <v>2.3379999999969421</v>
      </c>
    </row>
    <row r="110" spans="1:25" x14ac:dyDescent="0.2">
      <c r="A110" s="260" t="s">
        <v>355</v>
      </c>
      <c r="B110" s="300">
        <v>10.76800000000549</v>
      </c>
      <c r="C110" s="300">
        <v>0.23100000000163701</v>
      </c>
      <c r="D110" s="300">
        <v>1.2530000000059989</v>
      </c>
      <c r="E110" s="300">
        <f t="shared" ref="E110:E111" si="257">SUM(B110:D110)</f>
        <v>12.252000000013126</v>
      </c>
      <c r="F110" s="300"/>
      <c r="G110" s="300">
        <v>8.6210000000152256</v>
      </c>
      <c r="H110" s="300">
        <v>0.23900000000156726</v>
      </c>
      <c r="I110" s="300">
        <v>0.88000000000249634</v>
      </c>
      <c r="J110" s="300">
        <f t="shared" ref="J110:J111" si="258">SUM(G110:I110)</f>
        <v>9.7400000000192897</v>
      </c>
      <c r="K110" s="300"/>
      <c r="L110" s="300">
        <v>8.8910000000500879</v>
      </c>
      <c r="M110" s="300">
        <v>0.4010000000022666</v>
      </c>
      <c r="N110" s="300">
        <v>0.63200000000377898</v>
      </c>
      <c r="O110" s="300">
        <f t="shared" ref="O110:O111" si="259">SUM(L110:N110)</f>
        <v>9.9240000000561341</v>
      </c>
      <c r="P110" s="300"/>
      <c r="Q110" s="300">
        <v>9.006000000070447</v>
      </c>
      <c r="R110" s="300">
        <v>0.41600000000174109</v>
      </c>
      <c r="S110" s="300">
        <v>0.64600000000853475</v>
      </c>
      <c r="T110" s="300">
        <f t="shared" ref="T110:T111" si="260">SUM(Q110:S110)</f>
        <v>10.068000000080723</v>
      </c>
      <c r="U110" s="300"/>
      <c r="V110" s="300">
        <v>8.0790000000801907</v>
      </c>
      <c r="W110" s="300">
        <v>0.38700000000260426</v>
      </c>
      <c r="X110" s="300">
        <v>0.61100000000625343</v>
      </c>
      <c r="Y110" s="300">
        <f t="shared" ref="Y110:Y111" si="261">SUM(V110:X110)</f>
        <v>9.0770000000890487</v>
      </c>
    </row>
    <row r="111" spans="1:25" x14ac:dyDescent="0.2">
      <c r="A111" s="260" t="s">
        <v>354</v>
      </c>
      <c r="B111" s="300">
        <f>SUM(B109:B110)</f>
        <v>12.461999999989199</v>
      </c>
      <c r="C111" s="300">
        <f t="shared" ref="C111" si="262">SUM(C109:C110)</f>
        <v>0.63400000000023415</v>
      </c>
      <c r="D111" s="300">
        <f t="shared" ref="D111" si="263">SUM(D109:D110)</f>
        <v>1.3660000000074648</v>
      </c>
      <c r="E111" s="300">
        <f t="shared" si="257"/>
        <v>14.461999999996898</v>
      </c>
      <c r="F111" s="300"/>
      <c r="G111" s="300">
        <f>SUM(G109:G110)</f>
        <v>10.094999999991108</v>
      </c>
      <c r="H111" s="300">
        <f t="shared" ref="H111" si="264">SUM(H109:H110)</f>
        <v>0.77300000001331304</v>
      </c>
      <c r="I111" s="300">
        <f t="shared" ref="I111" si="265">SUM(I109:I110)</f>
        <v>0.99700000000417255</v>
      </c>
      <c r="J111" s="300">
        <f t="shared" si="258"/>
        <v>11.865000000008594</v>
      </c>
      <c r="K111" s="300"/>
      <c r="L111" s="300">
        <f>SUM(L109:L110)</f>
        <v>10.507000000030972</v>
      </c>
      <c r="M111" s="300">
        <f t="shared" ref="M111" si="266">SUM(M109:M110)</f>
        <v>0.96400000001242869</v>
      </c>
      <c r="N111" s="300">
        <f t="shared" ref="N111" si="267">SUM(N109:N110)</f>
        <v>1.1179999999978032</v>
      </c>
      <c r="O111" s="300">
        <f t="shared" si="259"/>
        <v>12.589000000041203</v>
      </c>
      <c r="P111" s="300"/>
      <c r="Q111" s="300">
        <f>SUM(Q109:Q110)</f>
        <v>10.606000000100469</v>
      </c>
      <c r="R111" s="300">
        <f t="shared" ref="R111" si="268">SUM(R109:R110)</f>
        <v>0.99600000002464995</v>
      </c>
      <c r="S111" s="300">
        <f t="shared" ref="S111" si="269">SUM(S109:S110)</f>
        <v>1.1250000000109217</v>
      </c>
      <c r="T111" s="300">
        <f t="shared" si="260"/>
        <v>12.727000000136039</v>
      </c>
      <c r="U111" s="300"/>
      <c r="V111" s="300">
        <f>SUM(V109:V110)</f>
        <v>9.4600000000862696</v>
      </c>
      <c r="W111" s="300">
        <f t="shared" ref="W111" si="270">SUM(W109:W110)</f>
        <v>0.93099999999619032</v>
      </c>
      <c r="X111" s="300">
        <f t="shared" ref="X111" si="271">SUM(X109:X110)</f>
        <v>1.0240000000035303</v>
      </c>
      <c r="Y111" s="300">
        <f t="shared" si="261"/>
        <v>11.415000000085991</v>
      </c>
    </row>
    <row r="112" spans="1:25" x14ac:dyDescent="0.2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x14ac:dyDescent="0.2">
      <c r="A113" s="261" t="str">
        <f>name!A16</f>
        <v>Other non-metallic</v>
      </c>
      <c r="C113" s="263"/>
    </row>
    <row r="114" spans="1:25" x14ac:dyDescent="0.2">
      <c r="A114" s="260" t="s">
        <v>356</v>
      </c>
      <c r="B114" s="300">
        <v>0.72499999999250109</v>
      </c>
      <c r="C114" s="300">
        <v>0.14499999999893942</v>
      </c>
      <c r="D114" s="300">
        <v>2.4000000000441942E-2</v>
      </c>
      <c r="E114" s="300">
        <f>SUM(B114:D114)</f>
        <v>0.8939999999918824</v>
      </c>
      <c r="F114" s="300"/>
      <c r="G114" s="300">
        <v>0.94599999999402162</v>
      </c>
      <c r="H114" s="300">
        <v>0.2980000000086569</v>
      </c>
      <c r="I114" s="300">
        <v>0.40600000000609154</v>
      </c>
      <c r="J114" s="300">
        <f>SUM(G114:I114)</f>
        <v>1.65000000000877</v>
      </c>
      <c r="K114" s="300"/>
      <c r="L114" s="300">
        <v>1.0369999999945001</v>
      </c>
      <c r="M114" s="300">
        <v>0.31400000000742523</v>
      </c>
      <c r="N114" s="300">
        <v>0.14999999999679517</v>
      </c>
      <c r="O114" s="300">
        <f>SUM(L114:N114)</f>
        <v>1.5009999999987205</v>
      </c>
      <c r="P114" s="300"/>
      <c r="Q114" s="300">
        <v>1.027000000024759</v>
      </c>
      <c r="R114" s="300">
        <v>0.32400000001621709</v>
      </c>
      <c r="S114" s="300">
        <v>0.14799999999940494</v>
      </c>
      <c r="T114" s="300">
        <f>SUM(Q114:S114)</f>
        <v>1.4990000000403811</v>
      </c>
      <c r="U114" s="300"/>
      <c r="V114" s="300">
        <v>0.88599999999764789</v>
      </c>
      <c r="W114" s="300">
        <v>0.30399999999471483</v>
      </c>
      <c r="X114" s="300">
        <v>0.12700000000409178</v>
      </c>
      <c r="Y114" s="300">
        <f>SUM(V114:X114)</f>
        <v>1.3169999999964546</v>
      </c>
    </row>
    <row r="115" spans="1:25" x14ac:dyDescent="0.2">
      <c r="A115" s="260" t="s">
        <v>355</v>
      </c>
      <c r="B115" s="300">
        <v>2.6600000000017223</v>
      </c>
      <c r="C115" s="300">
        <v>3.300000000008721E-2</v>
      </c>
      <c r="D115" s="300">
        <v>0.32499999999721668</v>
      </c>
      <c r="E115" s="300">
        <f t="shared" ref="E115:E116" si="272">SUM(B115:D115)</f>
        <v>3.0179999999990264</v>
      </c>
      <c r="F115" s="300"/>
      <c r="G115" s="300">
        <v>3.1940000000063464</v>
      </c>
      <c r="H115" s="300">
        <v>5.3000000000104262E-2</v>
      </c>
      <c r="I115" s="300">
        <v>0.33200000000182062</v>
      </c>
      <c r="J115" s="300">
        <f t="shared" ref="J115:J116" si="273">SUM(G115:I115)</f>
        <v>3.5790000000082713</v>
      </c>
      <c r="K115" s="300"/>
      <c r="L115" s="300">
        <v>3.294000000022383</v>
      </c>
      <c r="M115" s="300">
        <v>8.9000000000422699E-2</v>
      </c>
      <c r="N115" s="300">
        <v>0.15699999999976039</v>
      </c>
      <c r="O115" s="300">
        <f t="shared" ref="O115:O116" si="274">SUM(L115:N115)</f>
        <v>3.540000000022566</v>
      </c>
      <c r="P115" s="300"/>
      <c r="Q115" s="300">
        <v>3.3370000000325768</v>
      </c>
      <c r="R115" s="300">
        <v>9.2000000000206597E-2</v>
      </c>
      <c r="S115" s="300">
        <v>0.17499999999722196</v>
      </c>
      <c r="T115" s="300">
        <f t="shared" ref="T115:T116" si="275">SUM(Q115:S115)</f>
        <v>3.6040000000300054</v>
      </c>
      <c r="U115" s="300"/>
      <c r="V115" s="300">
        <v>2.9930000000367891</v>
      </c>
      <c r="W115" s="300">
        <v>8.6000000000199056E-2</v>
      </c>
      <c r="X115" s="300">
        <v>0.17999999999925834</v>
      </c>
      <c r="Y115" s="300">
        <f t="shared" ref="Y115:Y116" si="276">SUM(V115:X115)</f>
        <v>3.2590000000362469</v>
      </c>
    </row>
    <row r="116" spans="1:25" x14ac:dyDescent="0.2">
      <c r="A116" s="260" t="s">
        <v>354</v>
      </c>
      <c r="B116" s="300">
        <f>SUM(B114:B115)</f>
        <v>3.3849999999942235</v>
      </c>
      <c r="C116" s="300">
        <f t="shared" ref="C116" si="277">SUM(C114:C115)</f>
        <v>0.17799999999902663</v>
      </c>
      <c r="D116" s="300">
        <f t="shared" ref="D116" si="278">SUM(D114:D115)</f>
        <v>0.34899999999765863</v>
      </c>
      <c r="E116" s="300">
        <f t="shared" si="272"/>
        <v>3.9119999999909085</v>
      </c>
      <c r="F116" s="300"/>
      <c r="G116" s="300">
        <f>SUM(G114:G115)</f>
        <v>4.1400000000003683</v>
      </c>
      <c r="H116" s="300">
        <f t="shared" ref="H116" si="279">SUM(H114:H115)</f>
        <v>0.35100000000876114</v>
      </c>
      <c r="I116" s="300">
        <f t="shared" ref="I116" si="280">SUM(I114:I115)</f>
        <v>0.7380000000079121</v>
      </c>
      <c r="J116" s="300">
        <f t="shared" si="273"/>
        <v>5.2290000000170416</v>
      </c>
      <c r="K116" s="300"/>
      <c r="L116" s="300">
        <f>SUM(L114:L115)</f>
        <v>4.3310000000168829</v>
      </c>
      <c r="M116" s="300">
        <f t="shared" ref="M116" si="281">SUM(M114:M115)</f>
        <v>0.40300000000784791</v>
      </c>
      <c r="N116" s="300">
        <f t="shared" ref="N116" si="282">SUM(N114:N115)</f>
        <v>0.30699999999655558</v>
      </c>
      <c r="O116" s="300">
        <f t="shared" si="274"/>
        <v>5.0410000000212865</v>
      </c>
      <c r="P116" s="300"/>
      <c r="Q116" s="300">
        <f>SUM(Q114:Q115)</f>
        <v>4.3640000000573362</v>
      </c>
      <c r="R116" s="300">
        <f t="shared" ref="R116" si="283">SUM(R114:R115)</f>
        <v>0.41600000001642368</v>
      </c>
      <c r="S116" s="300">
        <f t="shared" ref="S116" si="284">SUM(S114:S115)</f>
        <v>0.32299999999662687</v>
      </c>
      <c r="T116" s="300">
        <f t="shared" si="275"/>
        <v>5.103000000070387</v>
      </c>
      <c r="U116" s="300"/>
      <c r="V116" s="300">
        <f>SUM(V114:V115)</f>
        <v>3.8790000000344369</v>
      </c>
      <c r="W116" s="300">
        <f t="shared" ref="W116" si="285">SUM(W114:W115)</f>
        <v>0.38999999999491386</v>
      </c>
      <c r="X116" s="300">
        <f t="shared" ref="X116" si="286">SUM(X114:X115)</f>
        <v>0.30700000000335015</v>
      </c>
      <c r="Y116" s="300">
        <f t="shared" si="276"/>
        <v>4.5760000000327015</v>
      </c>
    </row>
    <row r="117" spans="1:25" x14ac:dyDescent="0.2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x14ac:dyDescent="0.2">
      <c r="A118" s="261" t="str">
        <f>name!A17</f>
        <v>Basic metals</v>
      </c>
      <c r="C118" s="263"/>
    </row>
    <row r="119" spans="1:25" x14ac:dyDescent="0.2">
      <c r="A119" s="260" t="s">
        <v>356</v>
      </c>
      <c r="B119" s="300">
        <v>0.11500000000061435</v>
      </c>
      <c r="C119" s="300">
        <v>2.9999999999829826E-2</v>
      </c>
      <c r="D119" s="300">
        <v>5.0000000000407835E-3</v>
      </c>
      <c r="E119" s="300">
        <f>SUM(B119:D119)</f>
        <v>0.15000000000048494</v>
      </c>
      <c r="F119" s="300"/>
      <c r="G119" s="300">
        <v>0.15399999999679262</v>
      </c>
      <c r="H119" s="300">
        <v>2.4000000000299573E-2</v>
      </c>
      <c r="I119" s="300">
        <v>6.4999999998798658E-2</v>
      </c>
      <c r="J119" s="300">
        <f>SUM(G119:I119)</f>
        <v>0.24299999999589086</v>
      </c>
      <c r="K119" s="300"/>
      <c r="L119" s="300">
        <v>0.15199999999785671</v>
      </c>
      <c r="M119" s="300">
        <v>2.2000000000198316E-2</v>
      </c>
      <c r="N119" s="300">
        <v>6.1999999999764077E-2</v>
      </c>
      <c r="O119" s="300">
        <f>SUM(L119:N119)</f>
        <v>0.23599999999781909</v>
      </c>
      <c r="P119" s="300"/>
      <c r="Q119" s="300">
        <v>0.14799999999808686</v>
      </c>
      <c r="R119" s="300">
        <v>2.1000000000447761E-2</v>
      </c>
      <c r="S119" s="300">
        <v>6.0999999998819381E-2</v>
      </c>
      <c r="T119" s="300">
        <f>SUM(Q119:S119)</f>
        <v>0.22999999999735402</v>
      </c>
      <c r="U119" s="300"/>
      <c r="V119" s="300">
        <v>0.13800000000212587</v>
      </c>
      <c r="W119" s="300">
        <v>1.8999999999861773E-2</v>
      </c>
      <c r="X119" s="300">
        <v>5.7000000000480056E-2</v>
      </c>
      <c r="Y119" s="300">
        <f>SUM(V119:X119)</f>
        <v>0.21400000000246769</v>
      </c>
    </row>
    <row r="120" spans="1:25" x14ac:dyDescent="0.2">
      <c r="A120" s="260" t="s">
        <v>355</v>
      </c>
      <c r="B120" s="300">
        <v>2.0609999999982525</v>
      </c>
      <c r="C120" s="300">
        <v>6.2000000000225743E-2</v>
      </c>
      <c r="D120" s="300">
        <v>0.14899999999854951</v>
      </c>
      <c r="E120" s="300">
        <f t="shared" ref="E120:E121" si="287">SUM(B120:D120)</f>
        <v>2.271999999997028</v>
      </c>
      <c r="F120" s="300"/>
      <c r="G120" s="300">
        <v>2.5270000000008817</v>
      </c>
      <c r="H120" s="300">
        <v>3.8000000000110459E-2</v>
      </c>
      <c r="I120" s="300">
        <v>0.20400000000090521</v>
      </c>
      <c r="J120" s="300">
        <f t="shared" ref="J120:J121" si="288">SUM(G120:I120)</f>
        <v>2.7690000000018973</v>
      </c>
      <c r="K120" s="300"/>
      <c r="L120" s="300">
        <v>2.3360000000057344</v>
      </c>
      <c r="M120" s="300">
        <v>4.3000000000066763E-2</v>
      </c>
      <c r="N120" s="300">
        <v>6.5999999999786813E-2</v>
      </c>
      <c r="O120" s="300">
        <f t="shared" ref="O120:O121" si="289">SUM(L120:N120)</f>
        <v>2.4450000000055878</v>
      </c>
      <c r="P120" s="300"/>
      <c r="Q120" s="300">
        <v>2.1880000000119426</v>
      </c>
      <c r="R120" s="300">
        <v>4.0000000000042051E-2</v>
      </c>
      <c r="S120" s="300">
        <v>6.4999999998438585E-2</v>
      </c>
      <c r="T120" s="300">
        <f t="shared" ref="T120:T121" si="290">SUM(Q120:S120)</f>
        <v>2.2930000000104234</v>
      </c>
      <c r="U120" s="300"/>
      <c r="V120" s="300">
        <v>1.9040000000114865</v>
      </c>
      <c r="W120" s="300">
        <v>3.4000000000095378E-2</v>
      </c>
      <c r="X120" s="300">
        <v>6.1999999998743338E-2</v>
      </c>
      <c r="Y120" s="300">
        <f t="shared" ref="Y120:Y121" si="291">SUM(V120:X120)</f>
        <v>2.0000000000103251</v>
      </c>
    </row>
    <row r="121" spans="1:25" x14ac:dyDescent="0.2">
      <c r="A121" s="260" t="s">
        <v>354</v>
      </c>
      <c r="B121" s="300">
        <f>SUM(B119:B120)</f>
        <v>2.1759999999988668</v>
      </c>
      <c r="C121" s="300">
        <f t="shared" ref="C121" si="292">SUM(C119:C120)</f>
        <v>9.2000000000055565E-2</v>
      </c>
      <c r="D121" s="300">
        <f t="shared" ref="D121" si="293">SUM(D119:D120)</f>
        <v>0.15399999999859029</v>
      </c>
      <c r="E121" s="300">
        <f t="shared" si="287"/>
        <v>2.4219999999975128</v>
      </c>
      <c r="F121" s="300"/>
      <c r="G121" s="300">
        <f>SUM(G119:G120)</f>
        <v>2.6809999999976744</v>
      </c>
      <c r="H121" s="300">
        <f t="shared" ref="H121" si="294">SUM(H119:H120)</f>
        <v>6.2000000000410033E-2</v>
      </c>
      <c r="I121" s="300">
        <f t="shared" ref="I121" si="295">SUM(I119:I120)</f>
        <v>0.26899999999970386</v>
      </c>
      <c r="J121" s="300">
        <f t="shared" si="288"/>
        <v>3.0119999999977884</v>
      </c>
      <c r="K121" s="300"/>
      <c r="L121" s="300">
        <f>SUM(L119:L120)</f>
        <v>2.4880000000035909</v>
      </c>
      <c r="M121" s="300">
        <f t="shared" ref="M121" si="296">SUM(M119:M120)</f>
        <v>6.5000000000265082E-2</v>
      </c>
      <c r="N121" s="300">
        <f t="shared" ref="N121" si="297">SUM(N119:N120)</f>
        <v>0.12799999999955089</v>
      </c>
      <c r="O121" s="300">
        <f t="shared" si="289"/>
        <v>2.6810000000034067</v>
      </c>
      <c r="P121" s="300"/>
      <c r="Q121" s="300">
        <f>SUM(Q119:Q120)</f>
        <v>2.3360000000100296</v>
      </c>
      <c r="R121" s="300">
        <f t="shared" ref="R121" si="298">SUM(R119:R120)</f>
        <v>6.1000000000489815E-2</v>
      </c>
      <c r="S121" s="300">
        <f t="shared" ref="S121" si="299">SUM(S119:S120)</f>
        <v>0.12599999999725797</v>
      </c>
      <c r="T121" s="300">
        <f t="shared" si="290"/>
        <v>2.5230000000077775</v>
      </c>
      <c r="U121" s="300"/>
      <c r="V121" s="300">
        <f>SUM(V119:V120)</f>
        <v>2.0420000000136125</v>
      </c>
      <c r="W121" s="300">
        <f t="shared" ref="W121" si="300">SUM(W119:W120)</f>
        <v>5.2999999999957151E-2</v>
      </c>
      <c r="X121" s="300">
        <f t="shared" ref="X121" si="301">SUM(X119:X120)</f>
        <v>0.11899999999922339</v>
      </c>
      <c r="Y121" s="300">
        <f t="shared" si="291"/>
        <v>2.2140000000127933</v>
      </c>
    </row>
    <row r="122" spans="1:25" x14ac:dyDescent="0.2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x14ac:dyDescent="0.2">
      <c r="A123" s="261" t="str">
        <f>name!A18</f>
        <v>Metal products</v>
      </c>
      <c r="C123" s="263"/>
    </row>
    <row r="124" spans="1:25" x14ac:dyDescent="0.2">
      <c r="A124" s="260" t="s">
        <v>356</v>
      </c>
      <c r="B124" s="300">
        <v>2.1109999999840885</v>
      </c>
      <c r="C124" s="300">
        <v>1.1889999999956335</v>
      </c>
      <c r="D124" s="300">
        <v>4.7000000000661325E-2</v>
      </c>
      <c r="E124" s="300">
        <f>SUM(B124:D124)</f>
        <v>3.3469999999803832</v>
      </c>
      <c r="F124" s="300"/>
      <c r="G124" s="300">
        <v>2.5329999999530424</v>
      </c>
      <c r="H124" s="300">
        <v>1.0720000000191587</v>
      </c>
      <c r="I124" s="300">
        <v>0.69600000000419848</v>
      </c>
      <c r="J124" s="300">
        <f>SUM(G124:I124)</f>
        <v>4.3009999999763995</v>
      </c>
      <c r="K124" s="300"/>
      <c r="L124" s="300">
        <v>2.4949999999664771</v>
      </c>
      <c r="M124" s="300">
        <v>0.98400000001435639</v>
      </c>
      <c r="N124" s="300">
        <v>0.54799999999062232</v>
      </c>
      <c r="O124" s="300">
        <f>SUM(L124:N124)</f>
        <v>4.0269999999714559</v>
      </c>
      <c r="P124" s="300"/>
      <c r="Q124" s="300">
        <v>2.4340000000329094</v>
      </c>
      <c r="R124" s="300">
        <v>0.93800000003174544</v>
      </c>
      <c r="S124" s="300">
        <v>0.53899999999487203</v>
      </c>
      <c r="T124" s="300">
        <f>SUM(Q124:S124)</f>
        <v>3.9110000000595271</v>
      </c>
      <c r="U124" s="300"/>
      <c r="V124" s="300">
        <v>2.2780000000166956</v>
      </c>
      <c r="W124" s="300">
        <v>0.83999999999252584</v>
      </c>
      <c r="X124" s="300">
        <v>0.50400000000160039</v>
      </c>
      <c r="Y124" s="300">
        <f>SUM(V124:X124)</f>
        <v>3.6220000000108219</v>
      </c>
    </row>
    <row r="125" spans="1:25" x14ac:dyDescent="0.2">
      <c r="A125" s="260" t="s">
        <v>355</v>
      </c>
      <c r="B125" s="300">
        <v>18.966999999989365</v>
      </c>
      <c r="C125" s="300">
        <v>1.2100000000078799</v>
      </c>
      <c r="D125" s="300">
        <v>1.4509999999956933</v>
      </c>
      <c r="E125" s="300">
        <f t="shared" ref="E125:E126" si="302">SUM(B125:D125)</f>
        <v>21.627999999992941</v>
      </c>
      <c r="F125" s="300"/>
      <c r="G125" s="300">
        <v>20.837000000016776</v>
      </c>
      <c r="H125" s="300">
        <v>0.82200000000470208</v>
      </c>
      <c r="I125" s="300">
        <v>1.9060000000280037</v>
      </c>
      <c r="J125" s="300">
        <f t="shared" ref="J125:J126" si="303">SUM(G125:I125)</f>
        <v>23.565000000049483</v>
      </c>
      <c r="K125" s="300"/>
      <c r="L125" s="300">
        <v>19.263000000074857</v>
      </c>
      <c r="M125" s="300">
        <v>0.93600000000727801</v>
      </c>
      <c r="N125" s="300">
        <v>1.185000000000074</v>
      </c>
      <c r="O125" s="300">
        <f t="shared" ref="O125:O126" si="304">SUM(L125:N125)</f>
        <v>21.38400000008221</v>
      </c>
      <c r="P125" s="300"/>
      <c r="Q125" s="300">
        <v>18.039000000135118</v>
      </c>
      <c r="R125" s="300">
        <v>0.87400000000498423</v>
      </c>
      <c r="S125" s="300">
        <v>1.0709999999803532</v>
      </c>
      <c r="T125" s="300">
        <f t="shared" ref="T125:T126" si="305">SUM(Q125:S125)</f>
        <v>19.984000000120453</v>
      </c>
      <c r="U125" s="300"/>
      <c r="V125" s="300">
        <v>15.699000000143238</v>
      </c>
      <c r="W125" s="300">
        <v>0.75000000000728906</v>
      </c>
      <c r="X125" s="300">
        <v>0.85899999999232934</v>
      </c>
      <c r="Y125" s="300">
        <f t="shared" ref="Y125:Y126" si="306">SUM(V125:X125)</f>
        <v>17.308000000142854</v>
      </c>
    </row>
    <row r="126" spans="1:25" x14ac:dyDescent="0.2">
      <c r="A126" s="260" t="s">
        <v>354</v>
      </c>
      <c r="B126" s="300">
        <f>SUM(B124:B125)</f>
        <v>21.077999999973454</v>
      </c>
      <c r="C126" s="300">
        <f t="shared" ref="C126" si="307">SUM(C124:C125)</f>
        <v>2.3990000000035137</v>
      </c>
      <c r="D126" s="300">
        <f t="shared" ref="D126" si="308">SUM(D124:D125)</f>
        <v>1.4979999999963547</v>
      </c>
      <c r="E126" s="300">
        <f t="shared" si="302"/>
        <v>24.974999999973324</v>
      </c>
      <c r="F126" s="300"/>
      <c r="G126" s="300">
        <f>SUM(G124:G125)</f>
        <v>23.369999999969817</v>
      </c>
      <c r="H126" s="300">
        <f t="shared" ref="H126" si="309">SUM(H124:H125)</f>
        <v>1.8940000000238608</v>
      </c>
      <c r="I126" s="300">
        <f t="shared" ref="I126" si="310">SUM(I124:I125)</f>
        <v>2.6020000000322021</v>
      </c>
      <c r="J126" s="300">
        <f t="shared" si="303"/>
        <v>27.866000000025881</v>
      </c>
      <c r="K126" s="300"/>
      <c r="L126" s="300">
        <f>SUM(L124:L125)</f>
        <v>21.758000000041335</v>
      </c>
      <c r="M126" s="300">
        <f t="shared" ref="M126" si="311">SUM(M124:M125)</f>
        <v>1.9200000000216344</v>
      </c>
      <c r="N126" s="300">
        <f t="shared" ref="N126" si="312">SUM(N124:N125)</f>
        <v>1.7329999999906964</v>
      </c>
      <c r="O126" s="300">
        <f t="shared" si="304"/>
        <v>25.411000000053665</v>
      </c>
      <c r="P126" s="300"/>
      <c r="Q126" s="300">
        <f>SUM(Q124:Q125)</f>
        <v>20.473000000168028</v>
      </c>
      <c r="R126" s="300">
        <f t="shared" ref="R126" si="313">SUM(R124:R125)</f>
        <v>1.8120000000367296</v>
      </c>
      <c r="S126" s="300">
        <f t="shared" ref="S126" si="314">SUM(S124:S125)</f>
        <v>1.6099999999752252</v>
      </c>
      <c r="T126" s="300">
        <f t="shared" si="305"/>
        <v>23.895000000179984</v>
      </c>
      <c r="U126" s="300"/>
      <c r="V126" s="300">
        <f>SUM(V124:V125)</f>
        <v>17.977000000159933</v>
      </c>
      <c r="W126" s="300">
        <f t="shared" ref="W126" si="315">SUM(W124:W125)</f>
        <v>1.5899999999998149</v>
      </c>
      <c r="X126" s="300">
        <f t="shared" ref="X126" si="316">SUM(X124:X125)</f>
        <v>1.3629999999939297</v>
      </c>
      <c r="Y126" s="300">
        <f t="shared" si="306"/>
        <v>20.930000000153676</v>
      </c>
    </row>
    <row r="127" spans="1:25" x14ac:dyDescent="0.2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x14ac:dyDescent="0.2">
      <c r="A128" s="261" t="str">
        <f>name!A22</f>
        <v>Motor vehicles, etc</v>
      </c>
      <c r="C128" s="263"/>
    </row>
    <row r="129" spans="1:25" x14ac:dyDescent="0.2">
      <c r="A129" s="260" t="s">
        <v>356</v>
      </c>
      <c r="B129" s="300">
        <v>0.79299999999104531</v>
      </c>
      <c r="C129" s="300">
        <v>0.12099999999957728</v>
      </c>
      <c r="D129" s="300">
        <v>1.5000000000206921E-2</v>
      </c>
      <c r="E129" s="300">
        <f>SUM(B129:D129)</f>
        <v>0.92899999999082949</v>
      </c>
      <c r="F129" s="300"/>
      <c r="G129" s="300">
        <v>0.96999999999209219</v>
      </c>
      <c r="H129" s="300">
        <v>7.2000000001307768E-2</v>
      </c>
      <c r="I129" s="300">
        <v>7.0000000000884313E-2</v>
      </c>
      <c r="J129" s="300">
        <f>SUM(G129:I129)</f>
        <v>1.1119999999942842</v>
      </c>
      <c r="K129" s="300"/>
      <c r="L129" s="300">
        <v>0.88899999999517354</v>
      </c>
      <c r="M129" s="300">
        <v>6.5000000000920793E-2</v>
      </c>
      <c r="N129" s="300">
        <v>8.9999999998555541E-2</v>
      </c>
      <c r="O129" s="300">
        <f>SUM(L129:N129)</f>
        <v>1.0439999999946499</v>
      </c>
      <c r="P129" s="300"/>
      <c r="Q129" s="300">
        <v>0.89900000001952063</v>
      </c>
      <c r="R129" s="300">
        <v>6.3000000002109049E-2</v>
      </c>
      <c r="S129" s="300">
        <v>9.0999999999611669E-2</v>
      </c>
      <c r="T129" s="300">
        <f>SUM(Q129:S129)</f>
        <v>1.0530000000212414</v>
      </c>
      <c r="U129" s="300"/>
      <c r="V129" s="300">
        <v>0.83500000000360175</v>
      </c>
      <c r="W129" s="300">
        <v>5.1999999999579008E-2</v>
      </c>
      <c r="X129" s="300">
        <v>8.3000000000008997E-2</v>
      </c>
      <c r="Y129" s="300">
        <f>SUM(V129:X129)</f>
        <v>0.97000000000318976</v>
      </c>
    </row>
    <row r="130" spans="1:25" x14ac:dyDescent="0.2">
      <c r="A130" s="260" t="s">
        <v>355</v>
      </c>
      <c r="B130" s="300">
        <v>7.3999999999997224</v>
      </c>
      <c r="C130" s="300">
        <v>0.10500000000098721</v>
      </c>
      <c r="D130" s="300">
        <v>0.39300000000305035</v>
      </c>
      <c r="E130" s="300">
        <f t="shared" ref="E130:E131" si="317">SUM(B130:D130)</f>
        <v>7.8980000000037602</v>
      </c>
      <c r="F130" s="300"/>
      <c r="G130" s="300">
        <v>7.0090000000087445</v>
      </c>
      <c r="H130" s="300">
        <v>8.2000000000758397E-2</v>
      </c>
      <c r="I130" s="300">
        <v>0.27000000000258656</v>
      </c>
      <c r="J130" s="300">
        <f t="shared" ref="J130:J131" si="318">SUM(G130:I130)</f>
        <v>7.3610000000120897</v>
      </c>
      <c r="K130" s="300"/>
      <c r="L130" s="300">
        <v>6.6130000000309641</v>
      </c>
      <c r="M130" s="300">
        <v>0.1120000000010505</v>
      </c>
      <c r="N130" s="300">
        <v>0.25000000000161904</v>
      </c>
      <c r="O130" s="300">
        <f t="shared" ref="O130:O131" si="319">SUM(L130:N130)</f>
        <v>6.9750000000336341</v>
      </c>
      <c r="P130" s="300"/>
      <c r="Q130" s="300">
        <v>6.4440000000503321</v>
      </c>
      <c r="R130" s="300">
        <v>0.11500000000083237</v>
      </c>
      <c r="S130" s="300">
        <v>0.25200000000183453</v>
      </c>
      <c r="T130" s="300">
        <f t="shared" ref="T130:T131" si="320">SUM(Q130:S130)</f>
        <v>6.8110000000529993</v>
      </c>
      <c r="U130" s="300"/>
      <c r="V130" s="300">
        <v>5.5760000000542345</v>
      </c>
      <c r="W130" s="300">
        <v>0.10800000000108557</v>
      </c>
      <c r="X130" s="300">
        <v>0.23100000000151724</v>
      </c>
      <c r="Y130" s="300">
        <f t="shared" ref="Y130:Y131" si="321">SUM(V130:X130)</f>
        <v>5.9150000000568372</v>
      </c>
    </row>
    <row r="131" spans="1:25" x14ac:dyDescent="0.2">
      <c r="A131" s="260" t="s">
        <v>354</v>
      </c>
      <c r="B131" s="300">
        <f>SUM(B129:B130)</f>
        <v>8.1929999999907679</v>
      </c>
      <c r="C131" s="300">
        <f t="shared" ref="C131" si="322">SUM(C129:C130)</f>
        <v>0.22600000000056447</v>
      </c>
      <c r="D131" s="300">
        <f t="shared" ref="D131" si="323">SUM(D129:D130)</f>
        <v>0.40800000000325726</v>
      </c>
      <c r="E131" s="300">
        <f t="shared" si="317"/>
        <v>8.8269999999945892</v>
      </c>
      <c r="F131" s="300"/>
      <c r="G131" s="300">
        <f>SUM(G129:G130)</f>
        <v>7.9790000000008368</v>
      </c>
      <c r="H131" s="300">
        <f t="shared" ref="H131" si="324">SUM(H129:H130)</f>
        <v>0.15400000000206615</v>
      </c>
      <c r="I131" s="300">
        <f t="shared" ref="I131" si="325">SUM(I129:I130)</f>
        <v>0.34000000000347086</v>
      </c>
      <c r="J131" s="300">
        <f t="shared" si="318"/>
        <v>8.4730000000063743</v>
      </c>
      <c r="K131" s="300"/>
      <c r="L131" s="300">
        <f>SUM(L129:L130)</f>
        <v>7.502000000026138</v>
      </c>
      <c r="M131" s="300">
        <f t="shared" ref="M131" si="326">SUM(M129:M130)</f>
        <v>0.1770000000019713</v>
      </c>
      <c r="N131" s="300">
        <f t="shared" ref="N131" si="327">SUM(N129:N130)</f>
        <v>0.34000000000017461</v>
      </c>
      <c r="O131" s="300">
        <f t="shared" si="319"/>
        <v>8.0190000000282833</v>
      </c>
      <c r="P131" s="300"/>
      <c r="Q131" s="300">
        <f>SUM(Q129:Q130)</f>
        <v>7.3430000000698525</v>
      </c>
      <c r="R131" s="300">
        <f t="shared" ref="R131" si="328">SUM(R129:R130)</f>
        <v>0.17800000000294142</v>
      </c>
      <c r="S131" s="300">
        <f t="shared" ref="S131" si="329">SUM(S129:S130)</f>
        <v>0.3430000000014462</v>
      </c>
      <c r="T131" s="300">
        <f t="shared" si="320"/>
        <v>7.86400000007424</v>
      </c>
      <c r="U131" s="300"/>
      <c r="V131" s="300">
        <f>SUM(V129:V130)</f>
        <v>6.411000000057836</v>
      </c>
      <c r="W131" s="300">
        <f t="shared" ref="W131" si="330">SUM(W129:W130)</f>
        <v>0.16000000000066458</v>
      </c>
      <c r="X131" s="300">
        <f t="shared" ref="X131" si="331">SUM(X129:X130)</f>
        <v>0.31400000000152622</v>
      </c>
      <c r="Y131" s="300">
        <f t="shared" si="321"/>
        <v>6.8850000000600264</v>
      </c>
    </row>
    <row r="132" spans="1:25" x14ac:dyDescent="0.2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x14ac:dyDescent="0.2">
      <c r="A133" s="261" t="str">
        <f>name!A23</f>
        <v>Other transport equipment</v>
      </c>
      <c r="C133" s="263"/>
    </row>
    <row r="134" spans="1:25" x14ac:dyDescent="0.2">
      <c r="A134" s="260" t="s">
        <v>356</v>
      </c>
      <c r="B134" s="300">
        <v>3.0189999999760069</v>
      </c>
      <c r="C134" s="300">
        <v>0.34299999999828423</v>
      </c>
      <c r="D134" s="300">
        <v>5.6000000000681616E-2</v>
      </c>
      <c r="E134" s="300">
        <f>SUM(B134:D134)</f>
        <v>3.4179999999749726</v>
      </c>
      <c r="F134" s="300"/>
      <c r="G134" s="300">
        <v>3.6559999999673365</v>
      </c>
      <c r="H134" s="300">
        <v>0.61200000001197641</v>
      </c>
      <c r="I134" s="300">
        <v>0.42099999999954169</v>
      </c>
      <c r="J134" s="300">
        <f>SUM(G134:I134)</f>
        <v>4.6889999999788552</v>
      </c>
      <c r="K134" s="300"/>
      <c r="L134" s="300">
        <v>3.9909999999727841</v>
      </c>
      <c r="M134" s="300">
        <v>0.53900000000825332</v>
      </c>
      <c r="N134" s="300">
        <v>0.21699999999724465</v>
      </c>
      <c r="O134" s="300">
        <f>SUM(L134:N134)</f>
        <v>4.7469999999782821</v>
      </c>
      <c r="P134" s="300"/>
      <c r="Q134" s="300">
        <v>3.8100000000708207</v>
      </c>
      <c r="R134" s="300">
        <v>0.4940000000176431</v>
      </c>
      <c r="S134" s="300">
        <v>0.19499999999868631</v>
      </c>
      <c r="T134" s="300">
        <f>SUM(Q134:S134)</f>
        <v>4.4990000000871504</v>
      </c>
      <c r="U134" s="300"/>
      <c r="V134" s="300">
        <v>4.7550000000010462</v>
      </c>
      <c r="W134" s="300">
        <v>0.58699999999343</v>
      </c>
      <c r="X134" s="300">
        <v>0.21800000001236366</v>
      </c>
      <c r="Y134" s="300">
        <f>SUM(V134:X134)</f>
        <v>5.5600000000068395</v>
      </c>
    </row>
    <row r="135" spans="1:25" x14ac:dyDescent="0.2">
      <c r="A135" s="260" t="s">
        <v>355</v>
      </c>
      <c r="B135" s="300">
        <v>28.671999999959926</v>
      </c>
      <c r="C135" s="300">
        <v>0.17799999999982999</v>
      </c>
      <c r="D135" s="300">
        <v>1.1859999999820532</v>
      </c>
      <c r="E135" s="300">
        <f t="shared" ref="E135:E136" si="332">SUM(B135:D135)</f>
        <v>30.035999999941808</v>
      </c>
      <c r="F135" s="300"/>
      <c r="G135" s="300">
        <v>28.70899999999396</v>
      </c>
      <c r="H135" s="300">
        <v>0.290999999999762</v>
      </c>
      <c r="I135" s="300">
        <v>0.9880000000140563</v>
      </c>
      <c r="J135" s="300">
        <f t="shared" ref="J135:J136" si="333">SUM(G135:I135)</f>
        <v>29.98800000000778</v>
      </c>
      <c r="K135" s="300"/>
      <c r="L135" s="300">
        <v>28.492000000037137</v>
      </c>
      <c r="M135" s="300">
        <v>0.30999999999722122</v>
      </c>
      <c r="N135" s="300">
        <v>1.9549999999864642</v>
      </c>
      <c r="O135" s="300">
        <f t="shared" ref="O135:O136" si="334">SUM(L135:N135)</f>
        <v>30.757000000020824</v>
      </c>
      <c r="P135" s="300"/>
      <c r="Q135" s="300">
        <v>25.622000000123258</v>
      </c>
      <c r="R135" s="300">
        <v>0.28799999999836268</v>
      </c>
      <c r="S135" s="300">
        <v>1.7679999999330509</v>
      </c>
      <c r="T135" s="300">
        <f t="shared" ref="T135:T136" si="335">SUM(Q135:S135)</f>
        <v>27.67800000005467</v>
      </c>
      <c r="U135" s="300"/>
      <c r="V135" s="300">
        <v>28.389000000146368</v>
      </c>
      <c r="W135" s="300">
        <v>0.33699999999784658</v>
      </c>
      <c r="X135" s="300">
        <v>1.9709999999614713</v>
      </c>
      <c r="Y135" s="300">
        <f t="shared" ref="Y135:Y136" si="336">SUM(V135:X135)</f>
        <v>30.697000000105685</v>
      </c>
    </row>
    <row r="136" spans="1:25" x14ac:dyDescent="0.2">
      <c r="A136" s="260" t="s">
        <v>354</v>
      </c>
      <c r="B136" s="300">
        <f>SUM(B134:B135)</f>
        <v>31.690999999935933</v>
      </c>
      <c r="C136" s="300">
        <f t="shared" ref="C136" si="337">SUM(C134:C135)</f>
        <v>0.52099999999811419</v>
      </c>
      <c r="D136" s="300">
        <f t="shared" ref="D136" si="338">SUM(D134:D135)</f>
        <v>1.2419999999827347</v>
      </c>
      <c r="E136" s="300">
        <f t="shared" si="332"/>
        <v>33.453999999916775</v>
      </c>
      <c r="F136" s="300"/>
      <c r="G136" s="300">
        <f>SUM(G134:G135)</f>
        <v>32.364999999961299</v>
      </c>
      <c r="H136" s="300">
        <f t="shared" ref="H136" si="339">SUM(H134:H135)</f>
        <v>0.90300000001173841</v>
      </c>
      <c r="I136" s="300">
        <f t="shared" ref="I136" si="340">SUM(I134:I135)</f>
        <v>1.409000000013598</v>
      </c>
      <c r="J136" s="300">
        <f t="shared" si="333"/>
        <v>34.676999999986634</v>
      </c>
      <c r="K136" s="300"/>
      <c r="L136" s="300">
        <f>SUM(L134:L135)</f>
        <v>32.483000000009923</v>
      </c>
      <c r="M136" s="300">
        <f t="shared" ref="M136" si="341">SUM(M134:M135)</f>
        <v>0.84900000000547449</v>
      </c>
      <c r="N136" s="300">
        <f t="shared" ref="N136" si="342">SUM(N134:N135)</f>
        <v>2.1719999999837087</v>
      </c>
      <c r="O136" s="300">
        <f t="shared" si="334"/>
        <v>35.50399999999911</v>
      </c>
      <c r="P136" s="300"/>
      <c r="Q136" s="300">
        <f>SUM(Q134:Q135)</f>
        <v>29.43200000019408</v>
      </c>
      <c r="R136" s="300">
        <f t="shared" ref="R136" si="343">SUM(R134:R135)</f>
        <v>0.78200000001600578</v>
      </c>
      <c r="S136" s="300">
        <f t="shared" ref="S136" si="344">SUM(S134:S135)</f>
        <v>1.9629999999317371</v>
      </c>
      <c r="T136" s="300">
        <f t="shared" si="335"/>
        <v>32.177000000141824</v>
      </c>
      <c r="U136" s="300"/>
      <c r="V136" s="300">
        <f>SUM(V134:V135)</f>
        <v>33.144000000147415</v>
      </c>
      <c r="W136" s="300">
        <f t="shared" ref="W136" si="345">SUM(W134:W135)</f>
        <v>0.92399999999127658</v>
      </c>
      <c r="X136" s="300">
        <f t="shared" ref="X136" si="346">SUM(X134:X135)</f>
        <v>2.1889999999738352</v>
      </c>
      <c r="Y136" s="300">
        <f t="shared" si="336"/>
        <v>36.257000000112527</v>
      </c>
    </row>
    <row r="137" spans="1:25" x14ac:dyDescent="0.2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x14ac:dyDescent="0.2">
      <c r="A138" s="261" t="str">
        <f>name!A24</f>
        <v>Furniture</v>
      </c>
      <c r="C138" s="263"/>
    </row>
    <row r="139" spans="1:25" x14ac:dyDescent="0.2">
      <c r="A139" s="260" t="s">
        <v>356</v>
      </c>
      <c r="B139" s="300">
        <v>0.72699999999392717</v>
      </c>
      <c r="C139" s="300">
        <v>0.61499999999740029</v>
      </c>
      <c r="D139" s="300">
        <v>0.10000000000043768</v>
      </c>
      <c r="E139" s="300">
        <f>SUM(B139:D139)</f>
        <v>1.4419999999917652</v>
      </c>
      <c r="F139" s="300"/>
      <c r="G139" s="300">
        <v>0.48299999999352744</v>
      </c>
      <c r="H139" s="300">
        <v>0.14600000000273383</v>
      </c>
      <c r="I139" s="300">
        <v>6.8000000002507041E-2</v>
      </c>
      <c r="J139" s="300">
        <f>SUM(G139:I139)</f>
        <v>0.69699999999876827</v>
      </c>
      <c r="K139" s="300"/>
      <c r="L139" s="300">
        <v>0.51299999999512036</v>
      </c>
      <c r="M139" s="300">
        <v>0.13300000000200116</v>
      </c>
      <c r="N139" s="300">
        <v>0.36700000000014338</v>
      </c>
      <c r="O139" s="300">
        <f>SUM(L139:N139)</f>
        <v>1.012999999997265</v>
      </c>
      <c r="P139" s="300"/>
      <c r="Q139" s="300">
        <v>0.4670000000064759</v>
      </c>
      <c r="R139" s="300">
        <v>0.12100000000399547</v>
      </c>
      <c r="S139" s="300">
        <v>0.31900000001011047</v>
      </c>
      <c r="T139" s="300">
        <f>SUM(Q139:S139)</f>
        <v>0.90700000002058179</v>
      </c>
      <c r="U139" s="300"/>
      <c r="V139" s="300">
        <v>0.47900000000303733</v>
      </c>
      <c r="W139" s="300">
        <v>0.12299999999881076</v>
      </c>
      <c r="X139" s="300">
        <v>0.30699999999258937</v>
      </c>
      <c r="Y139" s="300">
        <f>SUM(V139:X139)</f>
        <v>0.90899999999443737</v>
      </c>
    </row>
    <row r="140" spans="1:25" x14ac:dyDescent="0.2">
      <c r="A140" s="260" t="s">
        <v>355</v>
      </c>
      <c r="B140" s="300">
        <v>5.408000000005603</v>
      </c>
      <c r="C140" s="300">
        <v>0.3280000000025779</v>
      </c>
      <c r="D140" s="300">
        <v>1.1849999999910417</v>
      </c>
      <c r="E140" s="300">
        <f t="shared" ref="E140:E141" si="347">SUM(B140:D140)</f>
        <v>6.9209999999992222</v>
      </c>
      <c r="F140" s="300"/>
      <c r="G140" s="300">
        <v>4.8650000000116682</v>
      </c>
      <c r="H140" s="300">
        <v>6.4000000000492219E-2</v>
      </c>
      <c r="I140" s="300">
        <v>0.70400000000549667</v>
      </c>
      <c r="J140" s="300">
        <f t="shared" ref="J140:J141" si="348">SUM(G140:I140)</f>
        <v>5.633000000017657</v>
      </c>
      <c r="K140" s="300"/>
      <c r="L140" s="300">
        <v>5.0460000000396539</v>
      </c>
      <c r="M140" s="300">
        <v>8.4000000000842304E-2</v>
      </c>
      <c r="N140" s="300">
        <v>0.41099999999832598</v>
      </c>
      <c r="O140" s="300">
        <f t="shared" ref="O140:O141" si="349">SUM(L140:N140)</f>
        <v>5.5410000000388226</v>
      </c>
      <c r="P140" s="300"/>
      <c r="Q140" s="300">
        <v>4.5780000000502179</v>
      </c>
      <c r="R140" s="300">
        <v>7.5000000000570194E-2</v>
      </c>
      <c r="S140" s="300">
        <v>0.38999999999199453</v>
      </c>
      <c r="T140" s="300">
        <f t="shared" ref="T140:T141" si="350">SUM(Q140:S140)</f>
        <v>5.0430000000427828</v>
      </c>
      <c r="U140" s="300"/>
      <c r="V140" s="300">
        <v>4.6460000000676054</v>
      </c>
      <c r="W140" s="300">
        <v>7.4000000001335095E-2</v>
      </c>
      <c r="X140" s="300">
        <v>0.4159999999951472</v>
      </c>
      <c r="Y140" s="300">
        <f t="shared" ref="Y140:Y141" si="351">SUM(V140:X140)</f>
        <v>5.1360000000640875</v>
      </c>
    </row>
    <row r="141" spans="1:25" x14ac:dyDescent="0.2">
      <c r="A141" s="260" t="s">
        <v>354</v>
      </c>
      <c r="B141" s="300">
        <f>SUM(B139:B140)</f>
        <v>6.1349999999995299</v>
      </c>
      <c r="C141" s="300">
        <f t="shared" ref="C141" si="352">SUM(C139:C140)</f>
        <v>0.94299999999997819</v>
      </c>
      <c r="D141" s="300">
        <f t="shared" ref="D141" si="353">SUM(D139:D140)</f>
        <v>1.2849999999914794</v>
      </c>
      <c r="E141" s="300">
        <f t="shared" si="347"/>
        <v>8.3629999999909881</v>
      </c>
      <c r="F141" s="300"/>
      <c r="G141" s="300">
        <f>SUM(G139:G140)</f>
        <v>5.3480000000051957</v>
      </c>
      <c r="H141" s="300">
        <f t="shared" ref="H141" si="354">SUM(H139:H140)</f>
        <v>0.21000000000322605</v>
      </c>
      <c r="I141" s="300">
        <f t="shared" ref="I141" si="355">SUM(I139:I140)</f>
        <v>0.77200000000800373</v>
      </c>
      <c r="J141" s="300">
        <f t="shared" si="348"/>
        <v>6.3300000000164252</v>
      </c>
      <c r="K141" s="300"/>
      <c r="L141" s="300">
        <f>SUM(L139:L140)</f>
        <v>5.5590000000347741</v>
      </c>
      <c r="M141" s="300">
        <f t="shared" ref="M141" si="356">SUM(M139:M140)</f>
        <v>0.21700000000284347</v>
      </c>
      <c r="N141" s="300">
        <f t="shared" ref="N141" si="357">SUM(N139:N140)</f>
        <v>0.77799999999846936</v>
      </c>
      <c r="O141" s="300">
        <f t="shared" si="349"/>
        <v>6.554000000036087</v>
      </c>
      <c r="P141" s="300"/>
      <c r="Q141" s="300">
        <f>SUM(Q139:Q140)</f>
        <v>5.0450000000566941</v>
      </c>
      <c r="R141" s="300">
        <f t="shared" ref="R141" si="358">SUM(R139:R140)</f>
        <v>0.19600000000456566</v>
      </c>
      <c r="S141" s="300">
        <f t="shared" ref="S141" si="359">SUM(S139:S140)</f>
        <v>0.70900000000210506</v>
      </c>
      <c r="T141" s="300">
        <f t="shared" si="350"/>
        <v>5.9500000000633655</v>
      </c>
      <c r="U141" s="300"/>
      <c r="V141" s="300">
        <f>SUM(V139:V140)</f>
        <v>5.125000000070643</v>
      </c>
      <c r="W141" s="300">
        <f t="shared" ref="W141" si="360">SUM(W139:W140)</f>
        <v>0.19700000000014584</v>
      </c>
      <c r="X141" s="300">
        <f t="shared" ref="X141" si="361">SUM(X139:X140)</f>
        <v>0.72299999998773656</v>
      </c>
      <c r="Y141" s="300">
        <f t="shared" si="351"/>
        <v>6.0450000000585256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1" t="str">
        <f>name!A25</f>
        <v>Other manufacturing</v>
      </c>
      <c r="C143" s="263"/>
    </row>
    <row r="144" spans="1:25" x14ac:dyDescent="0.2">
      <c r="A144" s="260" t="s">
        <v>356</v>
      </c>
      <c r="B144" s="300">
        <v>2.7469999999741699</v>
      </c>
      <c r="C144" s="300">
        <v>0.41899999999817378</v>
      </c>
      <c r="D144" s="300">
        <v>0.13500000000059095</v>
      </c>
      <c r="E144" s="300">
        <f>SUM(B144:D144)</f>
        <v>3.3009999999729347</v>
      </c>
      <c r="F144" s="300"/>
      <c r="G144" s="300">
        <v>4.5749999999400233</v>
      </c>
      <c r="H144" s="300">
        <v>1.857000000035097</v>
      </c>
      <c r="I144" s="300">
        <v>1.300000000047927</v>
      </c>
      <c r="J144" s="300">
        <f>SUM(G144:I144)</f>
        <v>7.7320000000230475</v>
      </c>
      <c r="K144" s="300"/>
      <c r="L144" s="300">
        <v>4.8669999999547127</v>
      </c>
      <c r="M144" s="300">
        <v>1.6960000000257323</v>
      </c>
      <c r="N144" s="300">
        <v>1.5060000000005878</v>
      </c>
      <c r="O144" s="300">
        <f>SUM(L144:N144)</f>
        <v>8.0689999999810329</v>
      </c>
      <c r="P144" s="300"/>
      <c r="Q144" s="300">
        <v>4.4230000000790914</v>
      </c>
      <c r="R144" s="300">
        <v>1.5390000000515038</v>
      </c>
      <c r="S144" s="300">
        <v>1.3110000000415487</v>
      </c>
      <c r="T144" s="300">
        <f>SUM(Q144:S144)</f>
        <v>7.2730000001721447</v>
      </c>
      <c r="U144" s="300"/>
      <c r="V144" s="300">
        <v>4.5370000000229629</v>
      </c>
      <c r="W144" s="300">
        <v>1.5709999999847633</v>
      </c>
      <c r="X144" s="300">
        <v>1.2619999999695397</v>
      </c>
      <c r="Y144" s="300">
        <f>SUM(V144:X144)</f>
        <v>7.3699999999772654</v>
      </c>
    </row>
    <row r="145" spans="1:25" x14ac:dyDescent="0.2">
      <c r="A145" s="260" t="s">
        <v>355</v>
      </c>
      <c r="B145" s="300">
        <v>3.6499999999994337</v>
      </c>
      <c r="C145" s="300">
        <v>0.17800000000130714</v>
      </c>
      <c r="D145" s="300">
        <v>0.65699999999567049</v>
      </c>
      <c r="E145" s="300">
        <f t="shared" ref="E145:E146" si="362">SUM(B145:D145)</f>
        <v>4.4849999999964112</v>
      </c>
      <c r="F145" s="300"/>
      <c r="G145" s="300">
        <v>8.2360000000069125</v>
      </c>
      <c r="H145" s="300">
        <v>0.64800000000294022</v>
      </c>
      <c r="I145" s="300">
        <v>1.1880000000086428</v>
      </c>
      <c r="J145" s="300">
        <f t="shared" ref="J145:J146" si="363">SUM(G145:I145)</f>
        <v>10.072000000018495</v>
      </c>
      <c r="K145" s="300"/>
      <c r="L145" s="300">
        <v>8.5430000000319772</v>
      </c>
      <c r="M145" s="300">
        <v>0.85200000001421572</v>
      </c>
      <c r="N145" s="300">
        <v>1.1099999999977799</v>
      </c>
      <c r="O145" s="300">
        <f t="shared" ref="O145:O146" si="364">SUM(L145:N145)</f>
        <v>10.505000000043974</v>
      </c>
      <c r="P145" s="300"/>
      <c r="Q145" s="300">
        <v>7.7500000000491411</v>
      </c>
      <c r="R145" s="300">
        <v>0.76000000000149792</v>
      </c>
      <c r="S145" s="300">
        <v>0.99799999998455147</v>
      </c>
      <c r="T145" s="300">
        <f t="shared" ref="T145:T146" si="365">SUM(Q145:S145)</f>
        <v>9.5080000000351905</v>
      </c>
      <c r="U145" s="300"/>
      <c r="V145" s="300">
        <v>7.8660000000515362</v>
      </c>
      <c r="W145" s="300">
        <v>0.75700000000339562</v>
      </c>
      <c r="X145" s="300">
        <v>1.0219999999948239</v>
      </c>
      <c r="Y145" s="300">
        <f t="shared" ref="Y145:Y146" si="366">SUM(V145:X145)</f>
        <v>9.6450000000497553</v>
      </c>
    </row>
    <row r="146" spans="1:25" x14ac:dyDescent="0.2">
      <c r="A146" s="260" t="s">
        <v>354</v>
      </c>
      <c r="B146" s="300">
        <f>SUM(B144:B145)</f>
        <v>6.3969999999736036</v>
      </c>
      <c r="C146" s="300">
        <f t="shared" ref="C146" si="367">SUM(C144:C145)</f>
        <v>0.59699999999948095</v>
      </c>
      <c r="D146" s="300">
        <f t="shared" ref="D146" si="368">SUM(D144:D145)</f>
        <v>0.79199999999626147</v>
      </c>
      <c r="E146" s="300">
        <f t="shared" si="362"/>
        <v>7.7859999999693459</v>
      </c>
      <c r="F146" s="300"/>
      <c r="G146" s="300">
        <f>SUM(G144:G145)</f>
        <v>12.810999999946937</v>
      </c>
      <c r="H146" s="300">
        <f t="shared" ref="H146" si="369">SUM(H144:H145)</f>
        <v>2.505000000038037</v>
      </c>
      <c r="I146" s="300">
        <f t="shared" ref="I146" si="370">SUM(I144:I145)</f>
        <v>2.4880000000565698</v>
      </c>
      <c r="J146" s="300">
        <f t="shared" si="363"/>
        <v>17.804000000041544</v>
      </c>
      <c r="K146" s="300"/>
      <c r="L146" s="300">
        <f>SUM(L144:L145)</f>
        <v>13.40999999998669</v>
      </c>
      <c r="M146" s="300">
        <f t="shared" ref="M146" si="371">SUM(M144:M145)</f>
        <v>2.5480000000399481</v>
      </c>
      <c r="N146" s="300">
        <f t="shared" ref="N146" si="372">SUM(N144:N145)</f>
        <v>2.6159999999983676</v>
      </c>
      <c r="O146" s="300">
        <f t="shared" si="364"/>
        <v>18.574000000025006</v>
      </c>
      <c r="P146" s="300"/>
      <c r="Q146" s="300">
        <f>SUM(Q144:Q145)</f>
        <v>12.173000000128233</v>
      </c>
      <c r="R146" s="300">
        <f t="shared" ref="R146" si="373">SUM(R144:R145)</f>
        <v>2.2990000000530015</v>
      </c>
      <c r="S146" s="300">
        <f t="shared" ref="S146" si="374">SUM(S144:S145)</f>
        <v>2.3090000000261002</v>
      </c>
      <c r="T146" s="300">
        <f t="shared" si="365"/>
        <v>16.781000000207335</v>
      </c>
      <c r="U146" s="300"/>
      <c r="V146" s="300">
        <f>SUM(V144:V145)</f>
        <v>12.403000000074499</v>
      </c>
      <c r="W146" s="300">
        <f t="shared" ref="W146" si="375">SUM(W144:W145)</f>
        <v>2.3279999999881591</v>
      </c>
      <c r="X146" s="300">
        <f t="shared" ref="X146" si="376">SUM(X144:X145)</f>
        <v>2.2839999999643634</v>
      </c>
      <c r="Y146" s="300">
        <f t="shared" si="366"/>
        <v>17.015000000027023</v>
      </c>
    </row>
    <row r="147" spans="1:25" x14ac:dyDescent="0.2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x14ac:dyDescent="0.2">
      <c r="A148" s="261" t="str">
        <f>name!A26</f>
        <v>Repair and installation</v>
      </c>
      <c r="C148" s="263"/>
    </row>
    <row r="149" spans="1:25" x14ac:dyDescent="0.2">
      <c r="A149" s="260" t="s">
        <v>356</v>
      </c>
      <c r="B149" s="300">
        <v>0.28399999999752862</v>
      </c>
      <c r="C149" s="300">
        <v>0.59799999999661524</v>
      </c>
      <c r="D149" s="300">
        <v>9.1000000001325285E-2</v>
      </c>
      <c r="E149" s="300">
        <f>SUM(B149:D149)</f>
        <v>0.97299999999546916</v>
      </c>
      <c r="F149" s="300"/>
      <c r="G149" s="300">
        <v>0.17999999999783647</v>
      </c>
      <c r="H149" s="300">
        <v>0.62300000001075384</v>
      </c>
      <c r="I149" s="300">
        <v>0.19600000000171372</v>
      </c>
      <c r="J149" s="300">
        <f>SUM(G149:I149)</f>
        <v>0.99900000001030398</v>
      </c>
      <c r="K149" s="300"/>
      <c r="L149" s="300">
        <v>0.19199999999840484</v>
      </c>
      <c r="M149" s="300">
        <v>0.56900000000741124</v>
      </c>
      <c r="N149" s="300">
        <v>0.34399999999407649</v>
      </c>
      <c r="O149" s="300">
        <f>SUM(L149:N149)</f>
        <v>1.1049999999998925</v>
      </c>
      <c r="P149" s="300"/>
      <c r="Q149" s="300">
        <v>0.17400000000290478</v>
      </c>
      <c r="R149" s="300">
        <v>0.51600000001597279</v>
      </c>
      <c r="S149" s="300">
        <v>0.29899999999787158</v>
      </c>
      <c r="T149" s="300">
        <f>SUM(Q149:S149)</f>
        <v>0.98900000001674915</v>
      </c>
      <c r="U149" s="300"/>
      <c r="V149" s="300">
        <v>0.17900000000088315</v>
      </c>
      <c r="W149" s="300">
        <v>0.52699999999467995</v>
      </c>
      <c r="X149" s="300">
        <v>0.28800000000039244</v>
      </c>
      <c r="Y149" s="300">
        <f>SUM(V149:X149)</f>
        <v>0.99399999999595545</v>
      </c>
    </row>
    <row r="150" spans="1:25" x14ac:dyDescent="0.2">
      <c r="A150" s="260" t="s">
        <v>355</v>
      </c>
      <c r="B150" s="300">
        <v>7.1629999999854395</v>
      </c>
      <c r="C150" s="300">
        <v>0.3080000000014248</v>
      </c>
      <c r="D150" s="300">
        <v>1.6240000000093899</v>
      </c>
      <c r="E150" s="300">
        <f t="shared" ref="E150:E151" si="377">SUM(B150:D150)</f>
        <v>9.0949999999962543</v>
      </c>
      <c r="F150" s="300"/>
      <c r="G150" s="300">
        <v>6.1589999999948359</v>
      </c>
      <c r="H150" s="300">
        <v>0.26300000000106361</v>
      </c>
      <c r="I150" s="300">
        <v>0.99700000000959921</v>
      </c>
      <c r="J150" s="300">
        <f t="shared" ref="J150:J151" si="378">SUM(G150:I150)</f>
        <v>7.4190000000054992</v>
      </c>
      <c r="K150" s="300"/>
      <c r="L150" s="300">
        <v>6.3879999999993178</v>
      </c>
      <c r="M150" s="300">
        <v>0.34500000000136638</v>
      </c>
      <c r="N150" s="300">
        <v>1.0710000000091244</v>
      </c>
      <c r="O150" s="300">
        <f t="shared" ref="O150:O151" si="379">SUM(L150:N150)</f>
        <v>7.8040000000098093</v>
      </c>
      <c r="P150" s="300"/>
      <c r="Q150" s="300">
        <v>5.7960000000214214</v>
      </c>
      <c r="R150" s="300">
        <v>0.30800000000070837</v>
      </c>
      <c r="S150" s="300">
        <v>1.0220000000045453</v>
      </c>
      <c r="T150" s="300">
        <f t="shared" ref="T150:T151" si="380">SUM(Q150:S150)</f>
        <v>7.126000000026675</v>
      </c>
      <c r="U150" s="300"/>
      <c r="V150" s="300">
        <v>5.8820000000193433</v>
      </c>
      <c r="W150" s="300">
        <v>0.30700000000102218</v>
      </c>
      <c r="X150" s="300">
        <v>1.1910000000108869</v>
      </c>
      <c r="Y150" s="300">
        <f t="shared" ref="Y150:Y151" si="381">SUM(V150:X150)</f>
        <v>7.3800000000312522</v>
      </c>
    </row>
    <row r="151" spans="1:25" x14ac:dyDescent="0.2">
      <c r="A151" s="260" t="s">
        <v>354</v>
      </c>
      <c r="B151" s="300">
        <f>SUM(B149:B150)</f>
        <v>7.4469999999829684</v>
      </c>
      <c r="C151" s="300">
        <f t="shared" ref="C151" si="382">SUM(C149:C150)</f>
        <v>0.90599999999804004</v>
      </c>
      <c r="D151" s="300">
        <f t="shared" ref="D151" si="383">SUM(D149:D150)</f>
        <v>1.7150000000107153</v>
      </c>
      <c r="E151" s="300">
        <f t="shared" si="377"/>
        <v>10.067999999991724</v>
      </c>
      <c r="F151" s="300"/>
      <c r="G151" s="300">
        <f>SUM(G149:G150)</f>
        <v>6.3389999999926721</v>
      </c>
      <c r="H151" s="300">
        <f t="shared" ref="H151" si="384">SUM(H149:H150)</f>
        <v>0.88600000001181745</v>
      </c>
      <c r="I151" s="300">
        <f t="shared" ref="I151" si="385">SUM(I149:I150)</f>
        <v>1.193000000011313</v>
      </c>
      <c r="J151" s="300">
        <f t="shared" si="378"/>
        <v>8.4180000000158017</v>
      </c>
      <c r="K151" s="300"/>
      <c r="L151" s="300">
        <f>SUM(L149:L150)</f>
        <v>6.5799999999977228</v>
      </c>
      <c r="M151" s="300">
        <f t="shared" ref="M151" si="386">SUM(M149:M150)</f>
        <v>0.91400000000877757</v>
      </c>
      <c r="N151" s="300">
        <f t="shared" ref="N151" si="387">SUM(N149:N150)</f>
        <v>1.415000000003201</v>
      </c>
      <c r="O151" s="300">
        <f t="shared" si="379"/>
        <v>8.9090000000097014</v>
      </c>
      <c r="P151" s="300"/>
      <c r="Q151" s="300">
        <f>SUM(Q149:Q150)</f>
        <v>5.9700000000243261</v>
      </c>
      <c r="R151" s="300">
        <f t="shared" ref="R151" si="388">SUM(R149:R150)</f>
        <v>0.82400000001668117</v>
      </c>
      <c r="S151" s="300">
        <f t="shared" ref="S151" si="389">SUM(S149:S150)</f>
        <v>1.3210000000024169</v>
      </c>
      <c r="T151" s="300">
        <f t="shared" si="380"/>
        <v>8.115000000043425</v>
      </c>
      <c r="U151" s="300"/>
      <c r="V151" s="300">
        <f>SUM(V149:V150)</f>
        <v>6.0610000000202264</v>
      </c>
      <c r="W151" s="300">
        <f t="shared" ref="W151" si="390">SUM(W149:W150)</f>
        <v>0.83399999999570218</v>
      </c>
      <c r="X151" s="300">
        <f t="shared" ref="X151" si="391">SUM(X149:X150)</f>
        <v>1.4790000000112793</v>
      </c>
      <c r="Y151" s="300">
        <f t="shared" si="381"/>
        <v>8.3740000000272072</v>
      </c>
    </row>
    <row r="152" spans="1:25" x14ac:dyDescent="0.2">
      <c r="C152" s="263"/>
    </row>
    <row r="153" spans="1:25" x14ac:dyDescent="0.2">
      <c r="A153" s="261" t="s">
        <v>370</v>
      </c>
    </row>
    <row r="154" spans="1:25" x14ac:dyDescent="0.2">
      <c r="A154" s="260" t="s">
        <v>356</v>
      </c>
      <c r="B154" s="300">
        <f>SUM(B74,B79,B84,B89,B94,B99,B104,B109,B114,B119,B124,B129,B134,B139,B144,B149)</f>
        <v>18.470999999859696</v>
      </c>
      <c r="C154" s="300">
        <f t="shared" ref="C154:D155" si="392">SUM(C74,C79,C84,C89,C94,C99,C104,C109,C114,C119,C124,C129,C134,C139,C144,C149)</f>
        <v>6.4049999999832394</v>
      </c>
      <c r="D154" s="300">
        <f t="shared" si="392"/>
        <v>1.072000000016162</v>
      </c>
      <c r="E154" s="300">
        <f>SUM(B154:D154)</f>
        <v>25.947999999859096</v>
      </c>
      <c r="F154" s="300"/>
      <c r="G154" s="300">
        <f>SUM(G74,G79,G84,G89,G94,G99,G104,G109,G114,G119,G124,G129,G134,G139,G144,G149)</f>
        <v>22.428999999690845</v>
      </c>
      <c r="H154" s="300">
        <f t="shared" ref="H154:I154" si="393">SUM(H74,H79,H84,H89,H94,H99,H104,H109,H114,H119,H124,H129,H134,H139,H144,H149)</f>
        <v>7.4710000001316654</v>
      </c>
      <c r="I154" s="300">
        <f t="shared" si="393"/>
        <v>5.4980000000994096</v>
      </c>
      <c r="J154" s="300">
        <f>SUM(G154:I154)</f>
        <v>35.397999999921922</v>
      </c>
      <c r="K154" s="300"/>
      <c r="L154" s="300">
        <f>SUM(L74,L79,L84,L89,L94,L99,L104,L109,L114,L119,L124,L129,L134,L139,L144,L149)</f>
        <v>23.363999999770709</v>
      </c>
      <c r="M154" s="300">
        <f t="shared" ref="M154:N154" si="394">SUM(M74,M79,M84,M89,M94,M99,M104,M109,M114,M119,M124,M129,M134,M139,M144,M149)</f>
        <v>6.883000000098848</v>
      </c>
      <c r="N154" s="300">
        <f t="shared" si="394"/>
        <v>7.2289999998971881</v>
      </c>
      <c r="O154" s="300">
        <f>SUM(L154:N154)</f>
        <v>37.475999999766749</v>
      </c>
      <c r="P154" s="300"/>
      <c r="Q154" s="300">
        <f>SUM(Q74,Q79,Q84,Q89,Q94,Q99,Q104,Q109,Q114,Q119,Q124,Q129,Q134,Q139,Q144,Q149)</f>
        <v>22.827000000295047</v>
      </c>
      <c r="R154" s="300">
        <f t="shared" ref="R154:S154" si="395">SUM(R74,R79,R84,R89,R94,R99,R104,R109,R114,R119,R124,R129,R134,R139,R144,R149)</f>
        <v>6.6080000002057933</v>
      </c>
      <c r="S154" s="300">
        <f t="shared" si="395"/>
        <v>6.775000000023935</v>
      </c>
      <c r="T154" s="300">
        <f>SUM(Q154:S154)</f>
        <v>36.210000000524779</v>
      </c>
      <c r="U154" s="300"/>
      <c r="V154" s="300">
        <f>SUM(V74,V79,V84,V89,V94,V99,V104,V109,V114,V119,V124,V129,V134,V139,V144,V149)</f>
        <v>23.136000000106304</v>
      </c>
      <c r="W154" s="300">
        <f t="shared" ref="W154:X154" si="396">SUM(W74,W79,W84,W89,W94,W99,W104,W109,W114,W119,W124,W129,W134,W139,W144,W149)</f>
        <v>6.53499999993792</v>
      </c>
      <c r="X154" s="300">
        <f t="shared" si="396"/>
        <v>6.3799999999758263</v>
      </c>
      <c r="Y154" s="300">
        <f>SUM(V154:X154)</f>
        <v>36.051000000020053</v>
      </c>
    </row>
    <row r="155" spans="1:25" x14ac:dyDescent="0.2">
      <c r="A155" s="260" t="s">
        <v>355</v>
      </c>
      <c r="B155" s="300">
        <f>SUM(B75,B80,B85,B90,B95,B100,B105,B110,B115,B120,B125,B130,B135,B140,B145,B150)</f>
        <v>106.94899999993508</v>
      </c>
      <c r="C155" s="300">
        <f t="shared" si="392"/>
        <v>4.0820000000293675</v>
      </c>
      <c r="D155" s="300">
        <f t="shared" si="392"/>
        <v>12.005000000003678</v>
      </c>
      <c r="E155" s="300">
        <f t="shared" ref="E155:E156" si="397">SUM(B155:D155)</f>
        <v>123.03599999996813</v>
      </c>
      <c r="F155" s="300"/>
      <c r="G155" s="300">
        <f>SUM(G75,G80,G85,G90,G95,G100,G105,G110,G115,G120,G125,G130,G135,G140,G145,G150)</f>
        <v>110.23400000005802</v>
      </c>
      <c r="H155" s="300">
        <f t="shared" ref="H155:I155" si="398">SUM(H75,H80,H85,H90,H95,H100,H105,H110,H115,H120,H125,H130,H135,H140,H145,H150)</f>
        <v>3.6310000000203835</v>
      </c>
      <c r="I155" s="300">
        <f t="shared" si="398"/>
        <v>10.293000000093567</v>
      </c>
      <c r="J155" s="300">
        <f t="shared" ref="J155:J156" si="399">SUM(G155:I155)</f>
        <v>124.15800000017197</v>
      </c>
      <c r="K155" s="300"/>
      <c r="L155" s="300">
        <f>SUM(L75,L80,L85,L90,L95,L100,L105,L110,L115,L120,L125,L130,L135,L140,L145,L150)</f>
        <v>108.75800000033001</v>
      </c>
      <c r="M155" s="300">
        <f t="shared" ref="M155:N155" si="400">SUM(M75,M80,M85,M90,M95,M100,M105,M110,M115,M120,M125,M130,M135,M140,M145,M150)</f>
        <v>4.335000000034106</v>
      </c>
      <c r="N155" s="300">
        <f t="shared" si="400"/>
        <v>9.4000000000011497</v>
      </c>
      <c r="O155" s="300">
        <f t="shared" ref="O155:O156" si="401">SUM(L155:N155)</f>
        <v>122.49300000036527</v>
      </c>
      <c r="P155" s="300"/>
      <c r="Q155" s="300">
        <f>SUM(Q75,Q80,Q85,Q90,Q95,Q100,Q105,Q110,Q115,Q120,Q125,Q130,Q135,Q140,Q145,Q150)</f>
        <v>102.77000000063862</v>
      </c>
      <c r="R155" s="300">
        <f t="shared" ref="R155:S155" si="402">SUM(R75,R80,R85,R90,R95,R100,R105,R110,R115,R120,R125,R130,R135,R140,R145,R150)</f>
        <v>4.1710000000163081</v>
      </c>
      <c r="S155" s="300">
        <f t="shared" si="402"/>
        <v>9.0149999999024821</v>
      </c>
      <c r="T155" s="300">
        <f t="shared" ref="T155:T156" si="403">SUM(Q155:S155)</f>
        <v>115.95600000055741</v>
      </c>
      <c r="U155" s="300"/>
      <c r="V155" s="300">
        <f>SUM(V75,V80,V85,V90,V95,V100,V105,V110,V115,V120,V125,V130,V135,V140,V145,V150)</f>
        <v>99.620000000702959</v>
      </c>
      <c r="W155" s="300">
        <f t="shared" ref="W155" si="404">SUM(W75,W80,W85,W90,W95,W100,W105,W110,W115,W120,W125,W130,W135,W140,W145,W150)</f>
        <v>4.0360000000266814</v>
      </c>
      <c r="X155" s="300">
        <f>SUM(X75,X80,X85,X90,X95,X100,X105,X110,X115,X120,X125,X130,X135,X140,X145,X150)</f>
        <v>9.0819999999727177</v>
      </c>
      <c r="Y155" s="300">
        <f t="shared" ref="Y155:Y156" si="405">SUM(V155:X155)</f>
        <v>112.73800000070236</v>
      </c>
    </row>
    <row r="156" spans="1:25" x14ac:dyDescent="0.2">
      <c r="A156" s="264" t="s">
        <v>354</v>
      </c>
      <c r="B156" s="301">
        <f>SUM(B154:B155)</f>
        <v>125.41999999979478</v>
      </c>
      <c r="C156" s="301">
        <f t="shared" ref="C156" si="406">SUM(C154:C155)</f>
        <v>10.487000000012607</v>
      </c>
      <c r="D156" s="301">
        <f t="shared" ref="D156" si="407">SUM(D154:D155)</f>
        <v>13.07700000001984</v>
      </c>
      <c r="E156" s="301">
        <f t="shared" si="397"/>
        <v>148.98399999982723</v>
      </c>
      <c r="F156" s="301"/>
      <c r="G156" s="301">
        <f>SUM(G154:G155)</f>
        <v>132.66299999974888</v>
      </c>
      <c r="H156" s="301">
        <f t="shared" ref="H156" si="408">SUM(H154:H155)</f>
        <v>11.102000000152049</v>
      </c>
      <c r="I156" s="301">
        <f t="shared" ref="I156" si="409">SUM(I154:I155)</f>
        <v>15.791000000192977</v>
      </c>
      <c r="J156" s="301">
        <f t="shared" si="399"/>
        <v>159.55600000009392</v>
      </c>
      <c r="K156" s="301"/>
      <c r="L156" s="301">
        <f>SUM(L154:L155)</f>
        <v>132.12200000010071</v>
      </c>
      <c r="M156" s="301">
        <f t="shared" ref="M156" si="410">SUM(M154:M155)</f>
        <v>11.218000000132953</v>
      </c>
      <c r="N156" s="301">
        <f t="shared" ref="N156" si="411">SUM(N154:N155)</f>
        <v>16.628999999898337</v>
      </c>
      <c r="O156" s="301">
        <f t="shared" si="401"/>
        <v>159.96900000013198</v>
      </c>
      <c r="P156" s="301"/>
      <c r="Q156" s="301">
        <f>SUM(Q154:Q155)</f>
        <v>125.59700000093366</v>
      </c>
      <c r="R156" s="301">
        <f t="shared" ref="R156" si="412">SUM(R154:R155)</f>
        <v>10.779000000222101</v>
      </c>
      <c r="S156" s="301">
        <f t="shared" ref="S156" si="413">SUM(S154:S155)</f>
        <v>15.789999999926417</v>
      </c>
      <c r="T156" s="301">
        <f t="shared" si="403"/>
        <v>152.16600000108218</v>
      </c>
      <c r="U156" s="301"/>
      <c r="V156" s="301">
        <f>SUM(V154:V155)</f>
        <v>122.75600000080927</v>
      </c>
      <c r="W156" s="301">
        <f t="shared" ref="W156" si="414">SUM(W154:W155)</f>
        <v>10.570999999964602</v>
      </c>
      <c r="X156" s="301">
        <f t="shared" ref="X156" si="415">SUM(X154:X155)</f>
        <v>15.461999999948544</v>
      </c>
      <c r="Y156" s="301">
        <f t="shared" si="405"/>
        <v>148.78900000072241</v>
      </c>
    </row>
    <row r="157" spans="1:25" x14ac:dyDescent="0.2">
      <c r="C157" s="263"/>
    </row>
    <row r="158" spans="1:25" x14ac:dyDescent="0.2">
      <c r="C158" s="263"/>
    </row>
    <row r="159" spans="1:25" x14ac:dyDescent="0.2">
      <c r="C159" s="263"/>
    </row>
    <row r="160" spans="1:25" ht="15" x14ac:dyDescent="0.25">
      <c r="A160" s="265" t="str">
        <f>"Industry 6 : "&amp; name!B9</f>
        <v>Industry 6 : Electricity and gas</v>
      </c>
      <c r="B160" s="371">
        <f>$B$5</f>
        <v>2015</v>
      </c>
      <c r="C160" s="371"/>
      <c r="D160" s="371"/>
      <c r="E160" s="371"/>
      <c r="F160" s="320"/>
      <c r="G160" s="371">
        <f>$G$5</f>
        <v>2019</v>
      </c>
      <c r="H160" s="371"/>
      <c r="I160" s="371"/>
      <c r="J160" s="371"/>
      <c r="K160" s="320"/>
      <c r="L160" s="371">
        <f>$L$5</f>
        <v>2020</v>
      </c>
      <c r="M160" s="371"/>
      <c r="N160" s="371"/>
      <c r="O160" s="371"/>
      <c r="P160" s="318"/>
      <c r="Q160" s="371">
        <f>$Q$5</f>
        <v>2025</v>
      </c>
      <c r="R160" s="371"/>
      <c r="S160" s="371"/>
      <c r="T160" s="371"/>
      <c r="U160" s="320"/>
      <c r="V160" s="371">
        <f>$V$5</f>
        <v>2035</v>
      </c>
      <c r="W160" s="371"/>
      <c r="X160" s="371"/>
      <c r="Y160" s="371"/>
    </row>
    <row r="161" spans="1:25" x14ac:dyDescent="0.2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x14ac:dyDescent="0.2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x14ac:dyDescent="0.2">
      <c r="A163" s="261" t="str">
        <f>name!A27</f>
        <v>Electricity, gas, etc</v>
      </c>
      <c r="C163" s="263"/>
    </row>
    <row r="164" spans="1:25" x14ac:dyDescent="0.2">
      <c r="A164" s="260" t="s">
        <v>356</v>
      </c>
      <c r="B164" s="300">
        <v>1.7089999999799879</v>
      </c>
      <c r="C164" s="300">
        <v>0.32499999999990259</v>
      </c>
      <c r="D164" s="300">
        <v>1.0000000000094725E-3</v>
      </c>
      <c r="E164" s="300">
        <f>SUM(B164:D164)</f>
        <v>2.0349999999799002</v>
      </c>
      <c r="F164" s="300"/>
      <c r="G164" s="300">
        <v>2.16099999999535</v>
      </c>
      <c r="H164" s="300">
        <v>0.60100000001470655</v>
      </c>
      <c r="I164" s="300">
        <v>1.0000000000094931E-3</v>
      </c>
      <c r="J164" s="300">
        <f>SUM(G164:I164)</f>
        <v>2.7630000000100661</v>
      </c>
      <c r="K164" s="300"/>
      <c r="L164" s="300">
        <v>3.4389999999936256</v>
      </c>
      <c r="M164" s="300">
        <v>1.0490000000226245</v>
      </c>
      <c r="N164" s="300">
        <v>0</v>
      </c>
      <c r="O164" s="300">
        <f>SUM(L164:N164)</f>
        <v>4.4880000000162497</v>
      </c>
      <c r="P164" s="300"/>
      <c r="Q164" s="300">
        <v>3.2820000001362959</v>
      </c>
      <c r="R164" s="300">
        <v>0.99100000004556987</v>
      </c>
      <c r="S164" s="300">
        <v>0</v>
      </c>
      <c r="T164" s="300">
        <f>SUM(Q164:S164)</f>
        <v>4.2730000001818658</v>
      </c>
      <c r="U164" s="300"/>
      <c r="V164" s="300">
        <v>3.2569999999503199</v>
      </c>
      <c r="W164" s="300">
        <v>0.96499999998229502</v>
      </c>
      <c r="X164" s="300">
        <v>0</v>
      </c>
      <c r="Y164" s="300">
        <f>SUM(V164:X164)</f>
        <v>4.2219999999326152</v>
      </c>
    </row>
    <row r="165" spans="1:25" x14ac:dyDescent="0.2">
      <c r="A165" s="260" t="s">
        <v>355</v>
      </c>
      <c r="B165" s="300">
        <v>4.6559999999785013</v>
      </c>
      <c r="C165" s="300">
        <v>4.8000000000276641E-2</v>
      </c>
      <c r="D165" s="300">
        <v>0.29500000000071613</v>
      </c>
      <c r="E165" s="300">
        <f t="shared" ref="E165:E166" si="416">SUM(B165:D165)</f>
        <v>4.9989999999794934</v>
      </c>
      <c r="F165" s="300"/>
      <c r="G165" s="300">
        <v>6.5919999999760366</v>
      </c>
      <c r="H165" s="300">
        <v>1.0680000000068939</v>
      </c>
      <c r="I165" s="300">
        <v>0.69299999999929063</v>
      </c>
      <c r="J165" s="300">
        <f t="shared" ref="J165:J166" si="417">SUM(G165:I165)</f>
        <v>8.3529999999822202</v>
      </c>
      <c r="K165" s="300"/>
      <c r="L165" s="300">
        <v>10.238999999938281</v>
      </c>
      <c r="M165" s="300">
        <v>0.6250000000002125</v>
      </c>
      <c r="N165" s="300">
        <v>0</v>
      </c>
      <c r="O165" s="300">
        <f t="shared" ref="O165:O166" si="418">SUM(L165:N165)</f>
        <v>10.863999999938494</v>
      </c>
      <c r="P165" s="300"/>
      <c r="Q165" s="300">
        <v>9.6189999999865545</v>
      </c>
      <c r="R165" s="300">
        <v>0.60000000000174025</v>
      </c>
      <c r="S165" s="300">
        <v>0</v>
      </c>
      <c r="T165" s="300">
        <f t="shared" ref="T165:T166" si="419">SUM(Q165:S165)</f>
        <v>10.218999999988295</v>
      </c>
      <c r="U165" s="300"/>
      <c r="V165" s="300">
        <v>9.2449999999622037</v>
      </c>
      <c r="W165" s="300">
        <v>0.60100000000280807</v>
      </c>
      <c r="X165" s="300">
        <v>0</v>
      </c>
      <c r="Y165" s="300">
        <f t="shared" ref="Y165:Y166" si="420">SUM(V165:X165)</f>
        <v>9.8459999999650112</v>
      </c>
    </row>
    <row r="166" spans="1:25" x14ac:dyDescent="0.2">
      <c r="A166" s="264" t="s">
        <v>354</v>
      </c>
      <c r="B166" s="301">
        <f>SUM(B164:B165)</f>
        <v>6.3649999999584894</v>
      </c>
      <c r="C166" s="301">
        <f t="shared" ref="C166" si="421">SUM(C164:C165)</f>
        <v>0.37300000000017924</v>
      </c>
      <c r="D166" s="301">
        <f t="shared" ref="D166" si="422">SUM(D164:D165)</f>
        <v>0.29600000000072563</v>
      </c>
      <c r="E166" s="301">
        <f t="shared" si="416"/>
        <v>7.033999999959395</v>
      </c>
      <c r="F166" s="301"/>
      <c r="G166" s="301">
        <f>SUM(G164:G165)</f>
        <v>8.7529999999713866</v>
      </c>
      <c r="H166" s="301">
        <f t="shared" ref="H166" si="423">SUM(H164:H165)</f>
        <v>1.6690000000216005</v>
      </c>
      <c r="I166" s="301">
        <f t="shared" ref="I166" si="424">SUM(I164:I165)</f>
        <v>0.69399999999930007</v>
      </c>
      <c r="J166" s="301">
        <f t="shared" si="417"/>
        <v>11.115999999992287</v>
      </c>
      <c r="K166" s="301"/>
      <c r="L166" s="301">
        <f>SUM(L164:L165)</f>
        <v>13.677999999931906</v>
      </c>
      <c r="M166" s="301">
        <f t="shared" ref="M166" si="425">SUM(M164:M165)</f>
        <v>1.674000000022837</v>
      </c>
      <c r="N166" s="301">
        <f t="shared" ref="N166" si="426">SUM(N164:N165)</f>
        <v>0</v>
      </c>
      <c r="O166" s="301">
        <f t="shared" si="418"/>
        <v>15.351999999954742</v>
      </c>
      <c r="P166" s="301"/>
      <c r="Q166" s="301">
        <f>SUM(Q164:Q165)</f>
        <v>12.901000000122851</v>
      </c>
      <c r="R166" s="301">
        <f t="shared" ref="R166" si="427">SUM(R164:R165)</f>
        <v>1.5910000000473101</v>
      </c>
      <c r="S166" s="301">
        <f t="shared" ref="S166" si="428">SUM(S164:S165)</f>
        <v>0</v>
      </c>
      <c r="T166" s="301">
        <f t="shared" si="419"/>
        <v>14.492000000170162</v>
      </c>
      <c r="U166" s="301"/>
      <c r="V166" s="301">
        <f>SUM(V164:V165)</f>
        <v>12.501999999912524</v>
      </c>
      <c r="W166" s="301">
        <f t="shared" ref="W166" si="429">SUM(W164:W165)</f>
        <v>1.5659999999851031</v>
      </c>
      <c r="X166" s="301">
        <f t="shared" ref="X166" si="430">SUM(X164:X165)</f>
        <v>0</v>
      </c>
      <c r="Y166" s="301">
        <f t="shared" si="420"/>
        <v>14.067999999897626</v>
      </c>
    </row>
    <row r="167" spans="1:25" x14ac:dyDescent="0.2">
      <c r="C167" s="263"/>
    </row>
    <row r="168" spans="1:25" x14ac:dyDescent="0.2">
      <c r="C168" s="263"/>
    </row>
    <row r="169" spans="1:25" x14ac:dyDescent="0.2">
      <c r="C169" s="263"/>
    </row>
    <row r="170" spans="1:25" ht="15" x14ac:dyDescent="0.25">
      <c r="A170" s="265" t="str">
        <f>"Industry 7 : "&amp; name!B10</f>
        <v>Industry 7 : Water and sewerage</v>
      </c>
      <c r="B170" s="371">
        <f>$B$5</f>
        <v>2015</v>
      </c>
      <c r="C170" s="371"/>
      <c r="D170" s="371"/>
      <c r="E170" s="371"/>
      <c r="F170" s="320"/>
      <c r="G170" s="371">
        <f>$G$5</f>
        <v>2019</v>
      </c>
      <c r="H170" s="371"/>
      <c r="I170" s="371"/>
      <c r="J170" s="371"/>
      <c r="K170" s="320"/>
      <c r="L170" s="371">
        <f>$L$5</f>
        <v>2020</v>
      </c>
      <c r="M170" s="371"/>
      <c r="N170" s="371"/>
      <c r="O170" s="371"/>
      <c r="P170" s="318"/>
      <c r="Q170" s="371">
        <f>$Q$5</f>
        <v>2025</v>
      </c>
      <c r="R170" s="371"/>
      <c r="S170" s="371"/>
      <c r="T170" s="371"/>
      <c r="U170" s="320"/>
      <c r="V170" s="371">
        <f>$V$5</f>
        <v>2035</v>
      </c>
      <c r="W170" s="371"/>
      <c r="X170" s="371"/>
      <c r="Y170" s="371"/>
    </row>
    <row r="171" spans="1:25" x14ac:dyDescent="0.2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x14ac:dyDescent="0.2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x14ac:dyDescent="0.2">
      <c r="A173" s="261" t="str">
        <f>name!A28</f>
        <v>Water</v>
      </c>
      <c r="C173" s="263"/>
    </row>
    <row r="174" spans="1:25" x14ac:dyDescent="0.2">
      <c r="A174" s="260" t="s">
        <v>356</v>
      </c>
      <c r="B174" s="300">
        <v>0.63999999999492196</v>
      </c>
      <c r="C174" s="300">
        <v>0.25999999999928475</v>
      </c>
      <c r="D174" s="300">
        <v>0.23300000000310983</v>
      </c>
      <c r="E174" s="300">
        <f>SUM(B174:D174)</f>
        <v>1.1329999999973166</v>
      </c>
      <c r="F174" s="300"/>
      <c r="G174" s="300">
        <v>0.81499999999084249</v>
      </c>
      <c r="H174" s="300">
        <v>0.65800000001318359</v>
      </c>
      <c r="I174" s="300">
        <v>0</v>
      </c>
      <c r="J174" s="300">
        <f>SUM(G174:I174)</f>
        <v>1.473000000004026</v>
      </c>
      <c r="K174" s="300"/>
      <c r="L174" s="300">
        <v>0.76799999999353008</v>
      </c>
      <c r="M174" s="300">
        <v>0.56800000001002671</v>
      </c>
      <c r="N174" s="300">
        <v>2.6999999999706214E-2</v>
      </c>
      <c r="O174" s="300">
        <f>SUM(L174:N174)</f>
        <v>1.3630000000032629</v>
      </c>
      <c r="P174" s="300"/>
      <c r="Q174" s="300">
        <v>0.84400000002165476</v>
      </c>
      <c r="R174" s="300">
        <v>0.60900000002448729</v>
      </c>
      <c r="S174" s="300">
        <v>2.8000000000017462E-2</v>
      </c>
      <c r="T174" s="300">
        <f>SUM(Q174:S174)</f>
        <v>1.4810000000461596</v>
      </c>
      <c r="U174" s="300"/>
      <c r="V174" s="300">
        <v>0.98899999999806565</v>
      </c>
      <c r="W174" s="300">
        <v>0.67599999999021132</v>
      </c>
      <c r="X174" s="300">
        <v>3.0000000000740584E-2</v>
      </c>
      <c r="Y174" s="300">
        <f>SUM(V174:X174)</f>
        <v>1.6949999999890175</v>
      </c>
    </row>
    <row r="175" spans="1:25" x14ac:dyDescent="0.2">
      <c r="A175" s="260" t="s">
        <v>355</v>
      </c>
      <c r="B175" s="300">
        <v>2.8719999999880454</v>
      </c>
      <c r="C175" s="300">
        <v>0.11599999999993195</v>
      </c>
      <c r="D175" s="300">
        <v>0.26099999999960577</v>
      </c>
      <c r="E175" s="300">
        <f t="shared" ref="E175:E176" si="431">SUM(B175:D175)</f>
        <v>3.2489999999875834</v>
      </c>
      <c r="F175" s="300"/>
      <c r="G175" s="300">
        <v>4.5049999999879322</v>
      </c>
      <c r="H175" s="300">
        <v>0.19999999999999332</v>
      </c>
      <c r="I175" s="300">
        <v>9.7000000000949563E-2</v>
      </c>
      <c r="J175" s="300">
        <f t="shared" ref="J175:J176" si="432">SUM(G175:I175)</f>
        <v>4.8019999999888752</v>
      </c>
      <c r="K175" s="300"/>
      <c r="L175" s="300">
        <v>4.4359999999889581</v>
      </c>
      <c r="M175" s="300">
        <v>0.33300000000104912</v>
      </c>
      <c r="N175" s="300">
        <v>0</v>
      </c>
      <c r="O175" s="300">
        <f t="shared" ref="O175:O176" si="433">SUM(L175:N175)</f>
        <v>4.7689999999900072</v>
      </c>
      <c r="P175" s="300"/>
      <c r="Q175" s="300">
        <v>4.6590000000076017</v>
      </c>
      <c r="R175" s="300">
        <v>0.35400000000115484</v>
      </c>
      <c r="S175" s="300">
        <v>0</v>
      </c>
      <c r="T175" s="300">
        <f t="shared" ref="T175:T176" si="434">SUM(Q175:S175)</f>
        <v>5.0130000000087565</v>
      </c>
      <c r="U175" s="300"/>
      <c r="V175" s="300">
        <v>4.9970000000023349</v>
      </c>
      <c r="W175" s="300">
        <v>0.38500000000226153</v>
      </c>
      <c r="X175" s="300">
        <v>0</v>
      </c>
      <c r="Y175" s="300">
        <f t="shared" ref="Y175:Y176" si="435">SUM(V175:X175)</f>
        <v>5.3820000000045969</v>
      </c>
    </row>
    <row r="176" spans="1:25" x14ac:dyDescent="0.2">
      <c r="A176" s="260" t="s">
        <v>354</v>
      </c>
      <c r="B176" s="300">
        <f>SUM(B174:B175)</f>
        <v>3.5119999999829674</v>
      </c>
      <c r="C176" s="300">
        <f t="shared" ref="C176" si="436">SUM(C174:C175)</f>
        <v>0.37599999999921668</v>
      </c>
      <c r="D176" s="300">
        <f t="shared" ref="D176" si="437">SUM(D174:D175)</f>
        <v>0.4940000000027156</v>
      </c>
      <c r="E176" s="300">
        <f t="shared" si="431"/>
        <v>4.3819999999848998</v>
      </c>
      <c r="F176" s="300"/>
      <c r="G176" s="300">
        <f>SUM(G174:G175)</f>
        <v>5.3199999999787746</v>
      </c>
      <c r="H176" s="300">
        <f t="shared" ref="H176" si="438">SUM(H174:H175)</f>
        <v>0.85800000001317689</v>
      </c>
      <c r="I176" s="300">
        <f t="shared" ref="I176" si="439">SUM(I174:I175)</f>
        <v>9.7000000000949563E-2</v>
      </c>
      <c r="J176" s="300">
        <f t="shared" si="432"/>
        <v>6.2749999999929011</v>
      </c>
      <c r="K176" s="300"/>
      <c r="L176" s="300">
        <f>SUM(L174:L175)</f>
        <v>5.2039999999824884</v>
      </c>
      <c r="M176" s="300">
        <f t="shared" ref="M176" si="440">SUM(M174:M175)</f>
        <v>0.90100000001107583</v>
      </c>
      <c r="N176" s="300">
        <f t="shared" ref="N176" si="441">SUM(N174:N175)</f>
        <v>2.6999999999706214E-2</v>
      </c>
      <c r="O176" s="300">
        <f t="shared" si="433"/>
        <v>6.1319999999932708</v>
      </c>
      <c r="P176" s="300"/>
      <c r="Q176" s="300">
        <f>SUM(Q174:Q175)</f>
        <v>5.5030000000292567</v>
      </c>
      <c r="R176" s="300">
        <f t="shared" ref="R176" si="442">SUM(R174:R175)</f>
        <v>0.96300000002564212</v>
      </c>
      <c r="S176" s="300">
        <f t="shared" ref="S176" si="443">SUM(S174:S175)</f>
        <v>2.8000000000017462E-2</v>
      </c>
      <c r="T176" s="300">
        <f t="shared" si="434"/>
        <v>6.4940000000549158</v>
      </c>
      <c r="U176" s="300"/>
      <c r="V176" s="300">
        <f>SUM(V174:V175)</f>
        <v>5.9860000000004003</v>
      </c>
      <c r="W176" s="300">
        <f t="shared" ref="W176" si="444">SUM(W174:W175)</f>
        <v>1.0609999999924729</v>
      </c>
      <c r="X176" s="300">
        <f t="shared" ref="X176" si="445">SUM(X174:X175)</f>
        <v>3.0000000000740584E-2</v>
      </c>
      <c r="Y176" s="300">
        <f t="shared" si="435"/>
        <v>7.076999999993614</v>
      </c>
    </row>
    <row r="177" spans="1:25" x14ac:dyDescent="0.2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x14ac:dyDescent="0.2">
      <c r="A178" s="261" t="str">
        <f>name!A29</f>
        <v>Sewerage</v>
      </c>
      <c r="C178" s="263"/>
    </row>
    <row r="179" spans="1:25" x14ac:dyDescent="0.2">
      <c r="A179" s="260" t="s">
        <v>356</v>
      </c>
      <c r="B179" s="300">
        <v>3.5999999999907481E-2</v>
      </c>
      <c r="C179" s="300">
        <v>0.21800000000010078</v>
      </c>
      <c r="D179" s="300">
        <v>0.14500000000230759</v>
      </c>
      <c r="E179" s="300">
        <f>SUM(B179:D179)</f>
        <v>0.39900000000231584</v>
      </c>
      <c r="F179" s="300"/>
      <c r="G179" s="300">
        <v>6.7999999999295666E-2</v>
      </c>
      <c r="H179" s="300">
        <v>0.22000000000143263</v>
      </c>
      <c r="I179" s="300">
        <v>0</v>
      </c>
      <c r="J179" s="300">
        <f>SUM(G179:I179)</f>
        <v>0.28800000000072828</v>
      </c>
      <c r="K179" s="300"/>
      <c r="L179" s="300">
        <v>6.3999999999540008E-2</v>
      </c>
      <c r="M179" s="300">
        <v>0.19000000000124734</v>
      </c>
      <c r="N179" s="300">
        <v>1.5999999999796746E-2</v>
      </c>
      <c r="O179" s="300">
        <f>SUM(L179:N179)</f>
        <v>0.27000000000058411</v>
      </c>
      <c r="P179" s="300"/>
      <c r="Q179" s="300">
        <v>7.0000000000376955E-2</v>
      </c>
      <c r="R179" s="300">
        <v>0.20400000000304797</v>
      </c>
      <c r="S179" s="300">
        <v>1.5999999999937613E-2</v>
      </c>
      <c r="T179" s="300">
        <f>SUM(Q179:S179)</f>
        <v>0.29000000000336257</v>
      </c>
      <c r="U179" s="300"/>
      <c r="V179" s="300">
        <v>8.2000000000561471E-2</v>
      </c>
      <c r="W179" s="300">
        <v>0.22599999999944198</v>
      </c>
      <c r="X179" s="300">
        <v>1.7999999999949959E-2</v>
      </c>
      <c r="Y179" s="300">
        <f>SUM(V179:X179)</f>
        <v>0.32599999999995338</v>
      </c>
    </row>
    <row r="180" spans="1:25" x14ac:dyDescent="0.2">
      <c r="A180" s="260" t="s">
        <v>355</v>
      </c>
      <c r="B180" s="300">
        <v>1.3840000000041186</v>
      </c>
      <c r="C180" s="300">
        <v>6.0000000000708084E-2</v>
      </c>
      <c r="D180" s="300">
        <v>0.49399999999820976</v>
      </c>
      <c r="E180" s="300">
        <f t="shared" ref="E180:E181" si="446">SUM(B180:D180)</f>
        <v>1.9380000000030364</v>
      </c>
      <c r="F180" s="300"/>
      <c r="G180" s="300">
        <v>2.0940000000082741</v>
      </c>
      <c r="H180" s="300">
        <v>4.1000000000477016E-2</v>
      </c>
      <c r="I180" s="300">
        <v>6.7000000000220911E-2</v>
      </c>
      <c r="J180" s="300">
        <f t="shared" ref="J180:J181" si="447">SUM(G180:I180)</f>
        <v>2.2020000000089719</v>
      </c>
      <c r="K180" s="300"/>
      <c r="L180" s="300">
        <v>2.0610000000229367</v>
      </c>
      <c r="M180" s="300">
        <v>6.8000000001067276E-2</v>
      </c>
      <c r="N180" s="300">
        <v>0</v>
      </c>
      <c r="O180" s="300">
        <f t="shared" ref="O180:O181" si="448">SUM(L180:N180)</f>
        <v>2.1290000000240039</v>
      </c>
      <c r="P180" s="300"/>
      <c r="Q180" s="300">
        <v>2.1650000000272724</v>
      </c>
      <c r="R180" s="300">
        <v>7.3000000000876641E-2</v>
      </c>
      <c r="S180" s="300">
        <v>0</v>
      </c>
      <c r="T180" s="300">
        <f t="shared" ref="T180:T181" si="449">SUM(Q180:S180)</f>
        <v>2.238000000028149</v>
      </c>
      <c r="U180" s="300"/>
      <c r="V180" s="300">
        <v>2.3220000000438756</v>
      </c>
      <c r="W180" s="300">
        <v>7.9000000001519896E-2</v>
      </c>
      <c r="X180" s="300">
        <v>0</v>
      </c>
      <c r="Y180" s="300">
        <f t="shared" ref="Y180:Y181" si="450">SUM(V180:X180)</f>
        <v>2.4010000000453955</v>
      </c>
    </row>
    <row r="181" spans="1:25" x14ac:dyDescent="0.2">
      <c r="A181" s="260" t="s">
        <v>354</v>
      </c>
      <c r="B181" s="300">
        <f>SUM(B179:B180)</f>
        <v>1.420000000004026</v>
      </c>
      <c r="C181" s="300">
        <f t="shared" ref="C181" si="451">SUM(C179:C180)</f>
        <v>0.27800000000080888</v>
      </c>
      <c r="D181" s="300">
        <f t="shared" ref="D181" si="452">SUM(D179:D180)</f>
        <v>0.63900000000051738</v>
      </c>
      <c r="E181" s="300">
        <f t="shared" si="446"/>
        <v>2.3370000000053524</v>
      </c>
      <c r="F181" s="300"/>
      <c r="G181" s="300">
        <f>SUM(G179:G180)</f>
        <v>2.1620000000075699</v>
      </c>
      <c r="H181" s="300">
        <f t="shared" ref="H181" si="453">SUM(H179:H180)</f>
        <v>0.26100000000190965</v>
      </c>
      <c r="I181" s="300">
        <f t="shared" ref="I181" si="454">SUM(I179:I180)</f>
        <v>6.7000000000220911E-2</v>
      </c>
      <c r="J181" s="300">
        <f t="shared" si="447"/>
        <v>2.4900000000097005</v>
      </c>
      <c r="K181" s="300"/>
      <c r="L181" s="300">
        <f>SUM(L179:L180)</f>
        <v>2.1250000000224767</v>
      </c>
      <c r="M181" s="300">
        <f t="shared" ref="M181" si="455">SUM(M179:M180)</f>
        <v>0.2580000000023146</v>
      </c>
      <c r="N181" s="300">
        <f t="shared" ref="N181" si="456">SUM(N179:N180)</f>
        <v>1.5999999999796746E-2</v>
      </c>
      <c r="O181" s="300">
        <f t="shared" si="448"/>
        <v>2.3990000000245879</v>
      </c>
      <c r="P181" s="300"/>
      <c r="Q181" s="300">
        <f>SUM(Q179:Q180)</f>
        <v>2.2350000000276493</v>
      </c>
      <c r="R181" s="300">
        <f t="shared" ref="R181" si="457">SUM(R179:R180)</f>
        <v>0.27700000000392461</v>
      </c>
      <c r="S181" s="300">
        <f t="shared" ref="S181" si="458">SUM(S179:S180)</f>
        <v>1.5999999999937613E-2</v>
      </c>
      <c r="T181" s="300">
        <f t="shared" si="449"/>
        <v>2.5280000000315113</v>
      </c>
      <c r="U181" s="300"/>
      <c r="V181" s="300">
        <f>SUM(V179:V180)</f>
        <v>2.4040000000444373</v>
      </c>
      <c r="W181" s="300">
        <f t="shared" ref="W181" si="459">SUM(W179:W180)</f>
        <v>0.30500000000096189</v>
      </c>
      <c r="X181" s="300">
        <f t="shared" ref="X181" si="460">SUM(X179:X180)</f>
        <v>1.7999999999949959E-2</v>
      </c>
      <c r="Y181" s="300">
        <f t="shared" si="450"/>
        <v>2.7270000000453494</v>
      </c>
    </row>
    <row r="182" spans="1:25" x14ac:dyDescent="0.2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x14ac:dyDescent="0.2">
      <c r="A183" s="261" t="str">
        <f>name!A30</f>
        <v>Waste management</v>
      </c>
      <c r="C183" s="263"/>
    </row>
    <row r="184" spans="1:25" x14ac:dyDescent="0.2">
      <c r="A184" s="260" t="s">
        <v>356</v>
      </c>
      <c r="B184" s="300">
        <v>2.0279999999917071</v>
      </c>
      <c r="C184" s="300">
        <v>0.93400000000112915</v>
      </c>
      <c r="D184" s="300">
        <v>0.24500000000377906</v>
      </c>
      <c r="E184" s="300">
        <f>SUM(B184:D184)</f>
        <v>3.206999999996615</v>
      </c>
      <c r="F184" s="300"/>
      <c r="G184" s="300">
        <v>2.3209999999673214</v>
      </c>
      <c r="H184" s="300">
        <v>0.73099999999884047</v>
      </c>
      <c r="I184" s="300">
        <v>0</v>
      </c>
      <c r="J184" s="300">
        <f>SUM(G184:I184)</f>
        <v>3.0519999999661618</v>
      </c>
      <c r="K184" s="300"/>
      <c r="L184" s="300">
        <v>2.1859999999797521</v>
      </c>
      <c r="M184" s="300">
        <v>0.63099999999911527</v>
      </c>
      <c r="N184" s="300">
        <v>3.6999999999621218E-2</v>
      </c>
      <c r="O184" s="300">
        <f>SUM(L184:N184)</f>
        <v>2.8539999999784884</v>
      </c>
      <c r="P184" s="300"/>
      <c r="Q184" s="300">
        <v>2.4020000000340467</v>
      </c>
      <c r="R184" s="300">
        <v>0.67600000000101013</v>
      </c>
      <c r="S184" s="300">
        <v>3.9000000000065552E-2</v>
      </c>
      <c r="T184" s="300">
        <f>SUM(Q184:S184)</f>
        <v>3.1170000000351221</v>
      </c>
      <c r="U184" s="300"/>
      <c r="V184" s="300">
        <v>2.8140000000114291</v>
      </c>
      <c r="W184" s="300">
        <v>0.75100000000003442</v>
      </c>
      <c r="X184" s="300">
        <v>4.0999999999759805E-2</v>
      </c>
      <c r="Y184" s="300">
        <f>SUM(V184:X184)</f>
        <v>3.6060000000112233</v>
      </c>
    </row>
    <row r="185" spans="1:25" x14ac:dyDescent="0.2">
      <c r="A185" s="260" t="s">
        <v>355</v>
      </c>
      <c r="B185" s="300">
        <v>7.709000000011514</v>
      </c>
      <c r="C185" s="300">
        <v>0.42300000000465671</v>
      </c>
      <c r="D185" s="300">
        <v>2.0459999999701091</v>
      </c>
      <c r="E185" s="300">
        <f t="shared" ref="E185:E186" si="461">SUM(B185:D185)</f>
        <v>10.177999999986278</v>
      </c>
      <c r="F185" s="300"/>
      <c r="G185" s="300">
        <v>9.8420000000247416</v>
      </c>
      <c r="H185" s="300">
        <v>0.20300000000222732</v>
      </c>
      <c r="I185" s="300">
        <v>1.289000000005456</v>
      </c>
      <c r="J185" s="300">
        <f t="shared" ref="J185:J186" si="462">SUM(G185:I185)</f>
        <v>11.334000000032425</v>
      </c>
      <c r="K185" s="300"/>
      <c r="L185" s="300">
        <v>9.690000000082307</v>
      </c>
      <c r="M185" s="300">
        <v>0.33900000000389668</v>
      </c>
      <c r="N185" s="300">
        <v>0</v>
      </c>
      <c r="O185" s="300">
        <f t="shared" ref="O185:O186" si="463">SUM(L185:N185)</f>
        <v>10.029000000086203</v>
      </c>
      <c r="P185" s="300"/>
      <c r="Q185" s="300">
        <v>10.178000000105223</v>
      </c>
      <c r="R185" s="300">
        <v>0.35900000000381926</v>
      </c>
      <c r="S185" s="300">
        <v>0</v>
      </c>
      <c r="T185" s="300">
        <f t="shared" ref="T185:T186" si="464">SUM(Q185:S185)</f>
        <v>10.537000000109042</v>
      </c>
      <c r="U185" s="300"/>
      <c r="V185" s="300">
        <v>10.916000000155746</v>
      </c>
      <c r="W185" s="300">
        <v>0.39200000000497376</v>
      </c>
      <c r="X185" s="300">
        <v>0</v>
      </c>
      <c r="Y185" s="300">
        <f t="shared" ref="Y185:Y186" si="465">SUM(V185:X185)</f>
        <v>11.308000000160719</v>
      </c>
    </row>
    <row r="186" spans="1:25" x14ac:dyDescent="0.2">
      <c r="A186" s="260" t="s">
        <v>354</v>
      </c>
      <c r="B186" s="300">
        <f>SUM(B184:B185)</f>
        <v>9.7370000000032206</v>
      </c>
      <c r="C186" s="300">
        <f t="shared" ref="C186" si="466">SUM(C184:C185)</f>
        <v>1.3570000000057858</v>
      </c>
      <c r="D186" s="300">
        <f t="shared" ref="D186" si="467">SUM(D184:D185)</f>
        <v>2.2909999999738879</v>
      </c>
      <c r="E186" s="300">
        <f t="shared" si="461"/>
        <v>13.384999999982895</v>
      </c>
      <c r="F186" s="300"/>
      <c r="G186" s="300">
        <f>SUM(G184:G185)</f>
        <v>12.162999999992063</v>
      </c>
      <c r="H186" s="300">
        <f t="shared" ref="H186" si="468">SUM(H184:H185)</f>
        <v>0.93400000000106775</v>
      </c>
      <c r="I186" s="300">
        <f t="shared" ref="I186" si="469">SUM(I184:I185)</f>
        <v>1.289000000005456</v>
      </c>
      <c r="J186" s="300">
        <f t="shared" si="462"/>
        <v>14.385999999998587</v>
      </c>
      <c r="K186" s="300"/>
      <c r="L186" s="300">
        <f>SUM(L184:L185)</f>
        <v>11.87600000006206</v>
      </c>
      <c r="M186" s="300">
        <f t="shared" ref="M186" si="470">SUM(M184:M185)</f>
        <v>0.97000000000301201</v>
      </c>
      <c r="N186" s="300">
        <f t="shared" ref="N186" si="471">SUM(N184:N185)</f>
        <v>3.6999999999621218E-2</v>
      </c>
      <c r="O186" s="300">
        <f t="shared" si="463"/>
        <v>12.883000000064692</v>
      </c>
      <c r="P186" s="300"/>
      <c r="Q186" s="300">
        <f>SUM(Q184:Q185)</f>
        <v>12.58000000013927</v>
      </c>
      <c r="R186" s="300">
        <f t="shared" ref="R186" si="472">SUM(R184:R185)</f>
        <v>1.0350000000048294</v>
      </c>
      <c r="S186" s="300">
        <f t="shared" ref="S186" si="473">SUM(S184:S185)</f>
        <v>3.9000000000065552E-2</v>
      </c>
      <c r="T186" s="300">
        <f t="shared" si="464"/>
        <v>13.654000000144165</v>
      </c>
      <c r="U186" s="300"/>
      <c r="V186" s="300">
        <f>SUM(V184:V185)</f>
        <v>13.730000000167175</v>
      </c>
      <c r="W186" s="300">
        <f t="shared" ref="W186" si="474">SUM(W184:W185)</f>
        <v>1.1430000000050082</v>
      </c>
      <c r="X186" s="300">
        <f t="shared" ref="X186" si="475">SUM(X184:X185)</f>
        <v>4.0999999999759805E-2</v>
      </c>
      <c r="Y186" s="300">
        <f t="shared" si="465"/>
        <v>14.914000000171944</v>
      </c>
    </row>
    <row r="188" spans="1:25" x14ac:dyDescent="0.2">
      <c r="A188" s="261" t="s">
        <v>369</v>
      </c>
      <c r="C188" s="263"/>
    </row>
    <row r="189" spans="1:25" x14ac:dyDescent="0.2">
      <c r="A189" s="260" t="s">
        <v>356</v>
      </c>
      <c r="B189" s="300">
        <f>SUM(B174,B179,B184)</f>
        <v>2.7039999999865367</v>
      </c>
      <c r="C189" s="300">
        <f t="shared" ref="C189:D189" si="476">SUM(C174,C179,C184)</f>
        <v>1.4120000000005146</v>
      </c>
      <c r="D189" s="300">
        <f t="shared" si="476"/>
        <v>0.62300000000919653</v>
      </c>
      <c r="E189" s="300">
        <f>SUM(B189:D189)</f>
        <v>4.7389999999962482</v>
      </c>
      <c r="F189" s="300"/>
      <c r="G189" s="300">
        <f>SUM(G174,G179,G184)</f>
        <v>3.2039999999574595</v>
      </c>
      <c r="H189" s="300">
        <f t="shared" ref="H189:I189" si="477">SUM(H174,H179,H184)</f>
        <v>1.6090000000134568</v>
      </c>
      <c r="I189" s="300">
        <f t="shared" si="477"/>
        <v>0</v>
      </c>
      <c r="J189" s="300">
        <f>SUM(G189:I189)</f>
        <v>4.8129999999709163</v>
      </c>
      <c r="K189" s="300"/>
      <c r="L189" s="300">
        <f>SUM(L174,L179,L184)</f>
        <v>3.0179999999728224</v>
      </c>
      <c r="M189" s="300">
        <f t="shared" ref="M189:N189" si="478">SUM(M174,M179,M184)</f>
        <v>1.3890000000103893</v>
      </c>
      <c r="N189" s="300">
        <f t="shared" si="478"/>
        <v>7.9999999999124188E-2</v>
      </c>
      <c r="O189" s="300">
        <f>SUM(L189:N189)</f>
        <v>4.486999999982336</v>
      </c>
      <c r="P189" s="300"/>
      <c r="Q189" s="300">
        <f>SUM(Q174,Q179,Q184)</f>
        <v>3.3160000000560785</v>
      </c>
      <c r="R189" s="300">
        <f t="shared" ref="R189:S189" si="479">SUM(R174,R179,R184)</f>
        <v>1.4890000000285455</v>
      </c>
      <c r="S189" s="300">
        <f t="shared" si="479"/>
        <v>8.3000000000020627E-2</v>
      </c>
      <c r="T189" s="300">
        <f>SUM(Q189:S189)</f>
        <v>4.8880000000846442</v>
      </c>
      <c r="U189" s="300"/>
      <c r="V189" s="300">
        <f>SUM(V174,V179,V184)</f>
        <v>3.8850000000100562</v>
      </c>
      <c r="W189" s="300">
        <f t="shared" ref="W189:X189" si="480">SUM(W174,W179,W184)</f>
        <v>1.6529999999896878</v>
      </c>
      <c r="X189" s="300">
        <f t="shared" si="480"/>
        <v>8.9000000000450358E-2</v>
      </c>
      <c r="Y189" s="300">
        <f>SUM(V189:X189)</f>
        <v>5.6270000000001952</v>
      </c>
    </row>
    <row r="190" spans="1:25" x14ac:dyDescent="0.2">
      <c r="A190" s="260" t="s">
        <v>355</v>
      </c>
      <c r="B190" s="300">
        <f>SUM(B175,B180,B185)</f>
        <v>11.965000000003677</v>
      </c>
      <c r="C190" s="300">
        <f t="shared" ref="C190:D190" si="481">SUM(C175,C180,C185)</f>
        <v>0.59900000000529674</v>
      </c>
      <c r="D190" s="300">
        <f t="shared" si="481"/>
        <v>2.8009999999679245</v>
      </c>
      <c r="E190" s="300">
        <f t="shared" ref="E190:E191" si="482">SUM(B190:D190)</f>
        <v>15.364999999976899</v>
      </c>
      <c r="F190" s="300"/>
      <c r="G190" s="300">
        <f>SUM(G175,G180,G185)</f>
        <v>16.441000000020949</v>
      </c>
      <c r="H190" s="300">
        <f t="shared" ref="H190:I190" si="483">SUM(H175,H180,H185)</f>
        <v>0.44400000000269768</v>
      </c>
      <c r="I190" s="300">
        <f t="shared" si="483"/>
        <v>1.4530000000066265</v>
      </c>
      <c r="J190" s="300">
        <f t="shared" ref="J190:J191" si="484">SUM(G190:I190)</f>
        <v>18.338000000030274</v>
      </c>
      <c r="K190" s="300"/>
      <c r="L190" s="300">
        <f>SUM(L175,L180,L185)</f>
        <v>16.187000000094201</v>
      </c>
      <c r="M190" s="300">
        <f t="shared" ref="M190:N190" si="485">SUM(M175,M180,M185)</f>
        <v>0.74000000000601307</v>
      </c>
      <c r="N190" s="300">
        <f t="shared" si="485"/>
        <v>0</v>
      </c>
      <c r="O190" s="300">
        <f t="shared" ref="O190:O191" si="486">SUM(L190:N190)</f>
        <v>16.927000000100215</v>
      </c>
      <c r="P190" s="300"/>
      <c r="Q190" s="300">
        <f>SUM(Q175,Q180,Q185)</f>
        <v>17.002000000140097</v>
      </c>
      <c r="R190" s="300">
        <f t="shared" ref="R190:S190" si="487">SUM(R175,R180,R185)</f>
        <v>0.78600000000585069</v>
      </c>
      <c r="S190" s="300">
        <f t="shared" si="487"/>
        <v>0</v>
      </c>
      <c r="T190" s="300">
        <f t="shared" ref="T190:T191" si="488">SUM(Q190:S190)</f>
        <v>17.788000000145946</v>
      </c>
      <c r="U190" s="300"/>
      <c r="V190" s="300">
        <f>SUM(V175,V180,V185)</f>
        <v>18.235000000201957</v>
      </c>
      <c r="W190" s="300">
        <f t="shared" ref="W190:X190" si="489">SUM(W175,W180,W185)</f>
        <v>0.8560000000087552</v>
      </c>
      <c r="X190" s="300">
        <f t="shared" si="489"/>
        <v>0</v>
      </c>
      <c r="Y190" s="300">
        <f t="shared" ref="Y190:Y191" si="490">SUM(V190:X190)</f>
        <v>19.091000000210713</v>
      </c>
    </row>
    <row r="191" spans="1:25" x14ac:dyDescent="0.2">
      <c r="A191" s="264" t="s">
        <v>354</v>
      </c>
      <c r="B191" s="301">
        <f>SUM(B189:B190)</f>
        <v>14.668999999990213</v>
      </c>
      <c r="C191" s="301">
        <f t="shared" ref="C191" si="491">SUM(C189:C190)</f>
        <v>2.0110000000058115</v>
      </c>
      <c r="D191" s="301">
        <f t="shared" ref="D191" si="492">SUM(D189:D190)</f>
        <v>3.4239999999771209</v>
      </c>
      <c r="E191" s="301">
        <f t="shared" si="482"/>
        <v>20.103999999973144</v>
      </c>
      <c r="F191" s="301"/>
      <c r="G191" s="301">
        <f>SUM(G189:G190)</f>
        <v>19.64499999997841</v>
      </c>
      <c r="H191" s="301">
        <f t="shared" ref="H191" si="493">SUM(H189:H190)</f>
        <v>2.0530000000161546</v>
      </c>
      <c r="I191" s="301">
        <f t="shared" ref="I191" si="494">SUM(I189:I190)</f>
        <v>1.4530000000066265</v>
      </c>
      <c r="J191" s="301">
        <f t="shared" si="484"/>
        <v>23.15100000000119</v>
      </c>
      <c r="K191" s="301"/>
      <c r="L191" s="301">
        <f>SUM(L189:L190)</f>
        <v>19.205000000067024</v>
      </c>
      <c r="M191" s="301">
        <f t="shared" ref="M191" si="495">SUM(M189:M190)</f>
        <v>2.1290000000164024</v>
      </c>
      <c r="N191" s="301">
        <f t="shared" ref="N191" si="496">SUM(N189:N190)</f>
        <v>7.9999999999124188E-2</v>
      </c>
      <c r="O191" s="301">
        <f t="shared" si="486"/>
        <v>21.414000000082552</v>
      </c>
      <c r="P191" s="301"/>
      <c r="Q191" s="301">
        <f>SUM(Q189:Q190)</f>
        <v>20.318000000196175</v>
      </c>
      <c r="R191" s="301">
        <f t="shared" ref="R191" si="497">SUM(R189:R190)</f>
        <v>2.275000000034396</v>
      </c>
      <c r="S191" s="301">
        <f t="shared" ref="S191" si="498">SUM(S189:S190)</f>
        <v>8.3000000000020627E-2</v>
      </c>
      <c r="T191" s="301">
        <f t="shared" si="488"/>
        <v>22.676000000230591</v>
      </c>
      <c r="U191" s="301"/>
      <c r="V191" s="301">
        <f>SUM(V189:V190)</f>
        <v>22.120000000212013</v>
      </c>
      <c r="W191" s="301">
        <f t="shared" ref="W191" si="499">SUM(W189:W190)</f>
        <v>2.5089999999984429</v>
      </c>
      <c r="X191" s="301">
        <f t="shared" ref="X191" si="500">SUM(X189:X190)</f>
        <v>8.9000000000450358E-2</v>
      </c>
      <c r="Y191" s="301">
        <f t="shared" si="490"/>
        <v>24.718000000210907</v>
      </c>
    </row>
    <row r="195" spans="1:25" ht="15" x14ac:dyDescent="0.25">
      <c r="A195" s="265" t="str">
        <f>"Industry 8 : "&amp; name!B11</f>
        <v>Industry 8 : Construction</v>
      </c>
      <c r="B195" s="371">
        <f>$B$5</f>
        <v>2015</v>
      </c>
      <c r="C195" s="371"/>
      <c r="D195" s="371"/>
      <c r="E195" s="371"/>
      <c r="F195" s="320"/>
      <c r="G195" s="371">
        <f>$G$5</f>
        <v>2019</v>
      </c>
      <c r="H195" s="371"/>
      <c r="I195" s="371"/>
      <c r="J195" s="371"/>
      <c r="K195" s="320"/>
      <c r="L195" s="371">
        <f>$L$5</f>
        <v>2020</v>
      </c>
      <c r="M195" s="371"/>
      <c r="N195" s="371"/>
      <c r="O195" s="371"/>
      <c r="P195" s="318"/>
      <c r="Q195" s="371">
        <f>$Q$5</f>
        <v>2025</v>
      </c>
      <c r="R195" s="371"/>
      <c r="S195" s="371"/>
      <c r="T195" s="371"/>
      <c r="U195" s="320"/>
      <c r="V195" s="371">
        <f>$V$5</f>
        <v>2035</v>
      </c>
      <c r="W195" s="371"/>
      <c r="X195" s="371"/>
      <c r="Y195" s="371"/>
    </row>
    <row r="196" spans="1:25" x14ac:dyDescent="0.2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x14ac:dyDescent="0.2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x14ac:dyDescent="0.2">
      <c r="A198" s="261" t="str">
        <f>name!A31</f>
        <v>Construction</v>
      </c>
      <c r="C198" s="263"/>
    </row>
    <row r="199" spans="1:25" x14ac:dyDescent="0.2">
      <c r="A199" s="260" t="s">
        <v>356</v>
      </c>
      <c r="B199" s="300">
        <v>4.8049999999886683</v>
      </c>
      <c r="C199" s="300">
        <v>2.7769999999856623</v>
      </c>
      <c r="D199" s="300">
        <v>1.0690000000016451</v>
      </c>
      <c r="E199" s="300">
        <f>SUM(B199:D199)</f>
        <v>8.6509999999759764</v>
      </c>
      <c r="F199" s="300"/>
      <c r="G199" s="300">
        <v>6.8749999998634905</v>
      </c>
      <c r="H199" s="300">
        <v>4.4490000000659853</v>
      </c>
      <c r="I199" s="300">
        <v>1.9780000000353624</v>
      </c>
      <c r="J199" s="300">
        <f>SUM(G199:I199)</f>
        <v>13.301999999964838</v>
      </c>
      <c r="K199" s="300"/>
      <c r="L199" s="300">
        <v>7.3979999998958945</v>
      </c>
      <c r="M199" s="300">
        <v>4.5200000000522129</v>
      </c>
      <c r="N199" s="300">
        <v>4.4899999999824685</v>
      </c>
      <c r="O199" s="300">
        <f>SUM(L199:N199)</f>
        <v>16.407999999930578</v>
      </c>
      <c r="P199" s="300"/>
      <c r="Q199" s="300">
        <v>8.0670000000497968</v>
      </c>
      <c r="R199" s="300">
        <v>4.9610000001333168</v>
      </c>
      <c r="S199" s="300">
        <v>4.8520000000407482</v>
      </c>
      <c r="T199" s="300">
        <f>SUM(Q199:S199)</f>
        <v>17.880000000223859</v>
      </c>
      <c r="U199" s="300"/>
      <c r="V199" s="300">
        <v>9.0770000000851425</v>
      </c>
      <c r="W199" s="300">
        <v>5.6439999999403243</v>
      </c>
      <c r="X199" s="300">
        <v>5.5720000000397665</v>
      </c>
      <c r="Y199" s="300">
        <f>SUM(V199:X199)</f>
        <v>20.293000000065234</v>
      </c>
    </row>
    <row r="200" spans="1:25" x14ac:dyDescent="0.2">
      <c r="A200" s="260" t="s">
        <v>355</v>
      </c>
      <c r="B200" s="300">
        <v>24.253000000027157</v>
      </c>
      <c r="C200" s="300">
        <v>0.99600000000565758</v>
      </c>
      <c r="D200" s="300">
        <v>19.886999999185186</v>
      </c>
      <c r="E200" s="300">
        <f t="shared" ref="E200:E201" si="501">SUM(B200:D200)</f>
        <v>45.135999999218001</v>
      </c>
      <c r="F200" s="300"/>
      <c r="G200" s="300">
        <v>37.41300000009781</v>
      </c>
      <c r="H200" s="300">
        <v>1.314000000007655</v>
      </c>
      <c r="I200" s="300">
        <v>29.650000000750154</v>
      </c>
      <c r="J200" s="300">
        <f t="shared" ref="J200:J201" si="502">SUM(G200:I200)</f>
        <v>68.377000000855617</v>
      </c>
      <c r="K200" s="300"/>
      <c r="L200" s="300">
        <v>37.683000000291635</v>
      </c>
      <c r="M200" s="300">
        <v>2.5960000000175083</v>
      </c>
      <c r="N200" s="300">
        <v>25.528999999390859</v>
      </c>
      <c r="O200" s="300">
        <f t="shared" ref="O200:O201" si="503">SUM(L200:N200)</f>
        <v>65.807999999700002</v>
      </c>
      <c r="P200" s="300"/>
      <c r="Q200" s="300">
        <v>40.395000000406668</v>
      </c>
      <c r="R200" s="300">
        <v>2.8700000000150125</v>
      </c>
      <c r="S200" s="300">
        <v>27.993999997275083</v>
      </c>
      <c r="T200" s="300">
        <f t="shared" ref="T200:T201" si="504">SUM(Q200:S200)</f>
        <v>71.258999997696762</v>
      </c>
      <c r="U200" s="300"/>
      <c r="V200" s="300">
        <v>43.421000000597118</v>
      </c>
      <c r="W200" s="300">
        <v>3.3020000000274696</v>
      </c>
      <c r="X200" s="300">
        <v>31.758999998178755</v>
      </c>
      <c r="Y200" s="300">
        <f t="shared" ref="Y200:Y201" si="505">SUM(V200:X200)</f>
        <v>78.481999998803346</v>
      </c>
    </row>
    <row r="201" spans="1:25" x14ac:dyDescent="0.2">
      <c r="A201" s="260" t="s">
        <v>354</v>
      </c>
      <c r="B201" s="300">
        <f>SUM(B199:B200)</f>
        <v>29.058000000015824</v>
      </c>
      <c r="C201" s="300">
        <f t="shared" ref="C201" si="506">SUM(C199:C200)</f>
        <v>3.77299999999132</v>
      </c>
      <c r="D201" s="300">
        <f t="shared" ref="D201" si="507">SUM(D199:D200)</f>
        <v>20.95599999918683</v>
      </c>
      <c r="E201" s="300">
        <f t="shared" si="501"/>
        <v>53.786999999193974</v>
      </c>
      <c r="F201" s="300"/>
      <c r="G201" s="300">
        <f>SUM(G199:G200)</f>
        <v>44.287999999961301</v>
      </c>
      <c r="H201" s="300">
        <f t="shared" ref="H201" si="508">SUM(H199:H200)</f>
        <v>5.7630000000736405</v>
      </c>
      <c r="I201" s="300">
        <f t="shared" ref="I201" si="509">SUM(I199:I200)</f>
        <v>31.628000000785516</v>
      </c>
      <c r="J201" s="300">
        <f t="shared" si="502"/>
        <v>81.679000000820452</v>
      </c>
      <c r="K201" s="300"/>
      <c r="L201" s="300">
        <f>SUM(L199:L200)</f>
        <v>45.08100000018753</v>
      </c>
      <c r="M201" s="300">
        <f t="shared" ref="M201" si="510">SUM(M199:M200)</f>
        <v>7.1160000000697217</v>
      </c>
      <c r="N201" s="300">
        <f t="shared" ref="N201" si="511">SUM(N199:N200)</f>
        <v>30.018999999373328</v>
      </c>
      <c r="O201" s="300">
        <f t="shared" si="503"/>
        <v>82.215999999630583</v>
      </c>
      <c r="P201" s="300"/>
      <c r="Q201" s="300">
        <f>SUM(Q199:Q200)</f>
        <v>48.462000000456463</v>
      </c>
      <c r="R201" s="300">
        <f t="shared" ref="R201" si="512">SUM(R199:R200)</f>
        <v>7.8310000001483289</v>
      </c>
      <c r="S201" s="300">
        <f t="shared" ref="S201" si="513">SUM(S199:S200)</f>
        <v>32.845999997315829</v>
      </c>
      <c r="T201" s="300">
        <f t="shared" si="504"/>
        <v>89.138999997920621</v>
      </c>
      <c r="U201" s="300"/>
      <c r="V201" s="300">
        <f>SUM(V199:V200)</f>
        <v>52.498000000682261</v>
      </c>
      <c r="W201" s="300">
        <f t="shared" ref="W201" si="514">SUM(W199:W200)</f>
        <v>8.9459999999677944</v>
      </c>
      <c r="X201" s="300">
        <f t="shared" ref="X201" si="515">SUM(X199:X200)</f>
        <v>37.330999998218523</v>
      </c>
      <c r="Y201" s="300">
        <f t="shared" si="505"/>
        <v>98.77499999886858</v>
      </c>
    </row>
    <row r="202" spans="1:25" x14ac:dyDescent="0.2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x14ac:dyDescent="0.2">
      <c r="A203" s="261" t="str">
        <f>name!A32</f>
        <v>Civil engineering</v>
      </c>
      <c r="C203" s="263"/>
    </row>
    <row r="204" spans="1:25" x14ac:dyDescent="0.2">
      <c r="A204" s="260" t="s">
        <v>356</v>
      </c>
      <c r="B204" s="300">
        <v>0.56299999999867212</v>
      </c>
      <c r="C204" s="300">
        <v>0.57199999999704665</v>
      </c>
      <c r="D204" s="300">
        <v>0.25600000000039358</v>
      </c>
      <c r="E204" s="300">
        <f>SUM(B204:D204)</f>
        <v>1.3909999999961125</v>
      </c>
      <c r="F204" s="300"/>
      <c r="G204" s="300">
        <v>0.63099999998747092</v>
      </c>
      <c r="H204" s="300">
        <v>0.70000000001038298</v>
      </c>
      <c r="I204" s="300">
        <v>0.36500000000652505</v>
      </c>
      <c r="J204" s="300">
        <f>SUM(G204:I204)</f>
        <v>1.6960000000043789</v>
      </c>
      <c r="K204" s="300"/>
      <c r="L204" s="300">
        <v>0.67899999999044536</v>
      </c>
      <c r="M204" s="300">
        <v>0.71100000000821317</v>
      </c>
      <c r="N204" s="300">
        <v>0.43599999999829775</v>
      </c>
      <c r="O204" s="300">
        <f>SUM(L204:N204)</f>
        <v>1.8259999999969563</v>
      </c>
      <c r="P204" s="300"/>
      <c r="Q204" s="300">
        <v>0.74000000000456767</v>
      </c>
      <c r="R204" s="300">
        <v>0.78100000002098791</v>
      </c>
      <c r="S204" s="300">
        <v>0.52600000000441827</v>
      </c>
      <c r="T204" s="300">
        <f>SUM(Q204:S204)</f>
        <v>2.047000000029974</v>
      </c>
      <c r="U204" s="300"/>
      <c r="V204" s="300">
        <v>0.83300000000781294</v>
      </c>
      <c r="W204" s="300">
        <v>0.8879999999906103</v>
      </c>
      <c r="X204" s="300">
        <v>0.68800000000491035</v>
      </c>
      <c r="Y204" s="300">
        <f>SUM(V204:X204)</f>
        <v>2.4090000000033336</v>
      </c>
    </row>
    <row r="205" spans="1:25" x14ac:dyDescent="0.2">
      <c r="A205" s="260" t="s">
        <v>355</v>
      </c>
      <c r="B205" s="300">
        <v>9.5220000000106566</v>
      </c>
      <c r="C205" s="300">
        <v>0.35200000000199955</v>
      </c>
      <c r="D205" s="300">
        <v>8.1799999996648474</v>
      </c>
      <c r="E205" s="300">
        <f t="shared" ref="E205:E206" si="516">SUM(B205:D205)</f>
        <v>18.053999999677501</v>
      </c>
      <c r="F205" s="300"/>
      <c r="G205" s="300">
        <v>11.508000000030076</v>
      </c>
      <c r="H205" s="300">
        <v>0.35400000000206217</v>
      </c>
      <c r="I205" s="300">
        <v>9.391000000237602</v>
      </c>
      <c r="J205" s="300">
        <f t="shared" ref="J205:J206" si="517">SUM(G205:I205)</f>
        <v>21.25300000026974</v>
      </c>
      <c r="K205" s="300"/>
      <c r="L205" s="300">
        <v>11.591000000089707</v>
      </c>
      <c r="M205" s="300">
        <v>0.70000000000472162</v>
      </c>
      <c r="N205" s="300">
        <v>8.0859999998070595</v>
      </c>
      <c r="O205" s="300">
        <f t="shared" ref="O205:O206" si="518">SUM(L205:N205)</f>
        <v>20.376999999901486</v>
      </c>
      <c r="P205" s="300"/>
      <c r="Q205" s="300">
        <v>12.425000000125083</v>
      </c>
      <c r="R205" s="300">
        <v>0.77400000000404945</v>
      </c>
      <c r="S205" s="300">
        <v>8.8669999991369082</v>
      </c>
      <c r="T205" s="300">
        <f t="shared" ref="T205:T206" si="519">SUM(Q205:S205)</f>
        <v>22.06599999926604</v>
      </c>
      <c r="U205" s="300"/>
      <c r="V205" s="300">
        <v>13.35600000018367</v>
      </c>
      <c r="W205" s="300">
        <v>0.89100000000741342</v>
      </c>
      <c r="X205" s="300">
        <v>10.058999999423154</v>
      </c>
      <c r="Y205" s="300">
        <f t="shared" ref="Y205:Y206" si="520">SUM(V205:X205)</f>
        <v>24.305999999614237</v>
      </c>
    </row>
    <row r="206" spans="1:25" x14ac:dyDescent="0.2">
      <c r="A206" s="260" t="s">
        <v>354</v>
      </c>
      <c r="B206" s="300">
        <f>SUM(B204:B205)</f>
        <v>10.085000000009329</v>
      </c>
      <c r="C206" s="300">
        <f t="shared" ref="C206" si="521">SUM(C204:C205)</f>
        <v>0.92399999999904625</v>
      </c>
      <c r="D206" s="300">
        <f t="shared" ref="D206" si="522">SUM(D204:D205)</f>
        <v>8.4359999996652402</v>
      </c>
      <c r="E206" s="300">
        <f t="shared" si="516"/>
        <v>19.444999999673612</v>
      </c>
      <c r="F206" s="300"/>
      <c r="G206" s="300">
        <f>SUM(G204:G205)</f>
        <v>12.139000000017548</v>
      </c>
      <c r="H206" s="300">
        <f t="shared" ref="H206" si="523">SUM(H204:H205)</f>
        <v>1.0540000000124452</v>
      </c>
      <c r="I206" s="300">
        <f t="shared" ref="I206" si="524">SUM(I204:I205)</f>
        <v>9.7560000002441267</v>
      </c>
      <c r="J206" s="300">
        <f t="shared" si="517"/>
        <v>22.949000000274118</v>
      </c>
      <c r="K206" s="300"/>
      <c r="L206" s="300">
        <f>SUM(L204:L205)</f>
        <v>12.270000000080152</v>
      </c>
      <c r="M206" s="300">
        <f t="shared" ref="M206" si="525">SUM(M204:M205)</f>
        <v>1.4110000000129348</v>
      </c>
      <c r="N206" s="300">
        <f t="shared" ref="N206" si="526">SUM(N204:N205)</f>
        <v>8.5219999998053577</v>
      </c>
      <c r="O206" s="300">
        <f t="shared" si="518"/>
        <v>22.202999999898445</v>
      </c>
      <c r="P206" s="300"/>
      <c r="Q206" s="300">
        <f>SUM(Q204:Q205)</f>
        <v>13.16500000012965</v>
      </c>
      <c r="R206" s="300">
        <f t="shared" ref="R206" si="527">SUM(R204:R205)</f>
        <v>1.5550000000250375</v>
      </c>
      <c r="S206" s="300">
        <f t="shared" ref="S206" si="528">SUM(S204:S205)</f>
        <v>9.3929999991413258</v>
      </c>
      <c r="T206" s="300">
        <f t="shared" si="519"/>
        <v>24.112999999296015</v>
      </c>
      <c r="U206" s="300"/>
      <c r="V206" s="300">
        <f>SUM(V204:V205)</f>
        <v>14.189000000191482</v>
      </c>
      <c r="W206" s="300">
        <f t="shared" ref="W206" si="529">SUM(W204:W205)</f>
        <v>1.7789999999980237</v>
      </c>
      <c r="X206" s="300">
        <f t="shared" ref="X206" si="530">SUM(X204:X205)</f>
        <v>10.746999999428064</v>
      </c>
      <c r="Y206" s="300">
        <f t="shared" si="520"/>
        <v>26.714999999617568</v>
      </c>
    </row>
    <row r="207" spans="1:25" x14ac:dyDescent="0.2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x14ac:dyDescent="0.2">
      <c r="A208" s="261" t="str">
        <f>name!A33</f>
        <v>Specialised construction</v>
      </c>
      <c r="C208" s="263"/>
    </row>
    <row r="209" spans="1:25" x14ac:dyDescent="0.2">
      <c r="A209" s="260" t="s">
        <v>356</v>
      </c>
      <c r="B209" s="300">
        <v>7.4809999999823518</v>
      </c>
      <c r="C209" s="300">
        <v>6.7219999999652931</v>
      </c>
      <c r="D209" s="300">
        <v>1.3650000000020999</v>
      </c>
      <c r="E209" s="300">
        <f>SUM(B209:D209)</f>
        <v>15.567999999949745</v>
      </c>
      <c r="F209" s="300"/>
      <c r="G209" s="300">
        <v>7.2049999998569234</v>
      </c>
      <c r="H209" s="300">
        <v>6.4610000000958365</v>
      </c>
      <c r="I209" s="300">
        <v>1.6540000000295683</v>
      </c>
      <c r="J209" s="300">
        <f>SUM(G209:I209)</f>
        <v>15.319999999982329</v>
      </c>
      <c r="K209" s="300"/>
      <c r="L209" s="300">
        <v>7.7539999998908824</v>
      </c>
      <c r="M209" s="300">
        <v>6.5640000000758327</v>
      </c>
      <c r="N209" s="300">
        <v>2.4439999999904565</v>
      </c>
      <c r="O209" s="300">
        <f>SUM(L209:N209)</f>
        <v>16.761999999957172</v>
      </c>
      <c r="P209" s="300"/>
      <c r="Q209" s="300">
        <v>8.4540000000521829</v>
      </c>
      <c r="R209" s="300">
        <v>7.2040000001935987</v>
      </c>
      <c r="S209" s="300">
        <v>2.6950000000226377</v>
      </c>
      <c r="T209" s="300">
        <f>SUM(Q209:S209)</f>
        <v>18.35300000026842</v>
      </c>
      <c r="U209" s="300"/>
      <c r="V209" s="300">
        <v>9.5130000000892192</v>
      </c>
      <c r="W209" s="300">
        <v>8.1959999999133331</v>
      </c>
      <c r="X209" s="300">
        <v>3.0800000000219807</v>
      </c>
      <c r="Y209" s="300">
        <f>SUM(V209:X209)</f>
        <v>20.789000000024537</v>
      </c>
    </row>
    <row r="210" spans="1:25" x14ac:dyDescent="0.2">
      <c r="A210" s="260" t="s">
        <v>355</v>
      </c>
      <c r="B210" s="300">
        <v>54.648000000061188</v>
      </c>
      <c r="C210" s="300">
        <v>2.1770000000123662</v>
      </c>
      <c r="D210" s="300">
        <v>50.91799999791381</v>
      </c>
      <c r="E210" s="300">
        <f t="shared" ref="E210:E211" si="531">SUM(B210:D210)</f>
        <v>107.74299999798737</v>
      </c>
      <c r="F210" s="300"/>
      <c r="G210" s="300">
        <v>56.744000000148276</v>
      </c>
      <c r="H210" s="300">
        <v>1.7240000000100433</v>
      </c>
      <c r="I210" s="300">
        <v>49.703000001257507</v>
      </c>
      <c r="J210" s="300">
        <f t="shared" ref="J210:J211" si="532">SUM(G210:I210)</f>
        <v>108.17100000141582</v>
      </c>
      <c r="K210" s="300"/>
      <c r="L210" s="300">
        <v>57.15400000044238</v>
      </c>
      <c r="M210" s="300">
        <v>3.4070000000229834</v>
      </c>
      <c r="N210" s="300">
        <v>42.794999998978881</v>
      </c>
      <c r="O210" s="300">
        <f t="shared" ref="O210:O211" si="533">SUM(L210:N210)</f>
        <v>103.35599999944424</v>
      </c>
      <c r="P210" s="300"/>
      <c r="Q210" s="300">
        <v>61.267000000616747</v>
      </c>
      <c r="R210" s="300">
        <v>3.7660000000196989</v>
      </c>
      <c r="S210" s="300">
        <v>46.926999995432197</v>
      </c>
      <c r="T210" s="300">
        <f t="shared" ref="T210:T211" si="534">SUM(Q210:S210)</f>
        <v>111.95999999606865</v>
      </c>
      <c r="U210" s="300"/>
      <c r="V210" s="300">
        <v>65.857000000905629</v>
      </c>
      <c r="W210" s="300">
        <v>4.3320000000360395</v>
      </c>
      <c r="X210" s="300">
        <v>53.238999996946923</v>
      </c>
      <c r="Y210" s="300">
        <f t="shared" ref="Y210:Y211" si="535">SUM(V210:X210)</f>
        <v>123.42799999788858</v>
      </c>
    </row>
    <row r="211" spans="1:25" x14ac:dyDescent="0.2">
      <c r="A211" s="260" t="s">
        <v>354</v>
      </c>
      <c r="B211" s="300">
        <f>SUM(B209:B210)</f>
        <v>62.12900000004354</v>
      </c>
      <c r="C211" s="300">
        <f t="shared" ref="C211" si="536">SUM(C209:C210)</f>
        <v>8.8989999999776597</v>
      </c>
      <c r="D211" s="300">
        <f t="shared" ref="D211" si="537">SUM(D209:D210)</f>
        <v>52.282999997915908</v>
      </c>
      <c r="E211" s="300">
        <f t="shared" si="531"/>
        <v>123.3109999979371</v>
      </c>
      <c r="F211" s="300"/>
      <c r="G211" s="300">
        <f>SUM(G209:G210)</f>
        <v>63.949000000005199</v>
      </c>
      <c r="H211" s="300">
        <f t="shared" ref="H211" si="538">SUM(H209:H210)</f>
        <v>8.1850000001058802</v>
      </c>
      <c r="I211" s="300">
        <f t="shared" ref="I211" si="539">SUM(I209:I210)</f>
        <v>51.357000001287076</v>
      </c>
      <c r="J211" s="300">
        <f t="shared" si="532"/>
        <v>123.49100000139816</v>
      </c>
      <c r="K211" s="300"/>
      <c r="L211" s="300">
        <f>SUM(L209:L210)</f>
        <v>64.90800000033326</v>
      </c>
      <c r="M211" s="300">
        <f t="shared" ref="M211" si="540">SUM(M209:M210)</f>
        <v>9.9710000000988153</v>
      </c>
      <c r="N211" s="300">
        <f t="shared" ref="N211" si="541">SUM(N209:N210)</f>
        <v>45.238999998969334</v>
      </c>
      <c r="O211" s="300">
        <f t="shared" si="533"/>
        <v>120.11799999940141</v>
      </c>
      <c r="P211" s="300"/>
      <c r="Q211" s="300">
        <f>SUM(Q209:Q210)</f>
        <v>69.721000000668937</v>
      </c>
      <c r="R211" s="300">
        <f t="shared" ref="R211" si="542">SUM(R209:R210)</f>
        <v>10.970000000213297</v>
      </c>
      <c r="S211" s="300">
        <f t="shared" ref="S211" si="543">SUM(S209:S210)</f>
        <v>49.621999995454836</v>
      </c>
      <c r="T211" s="300">
        <f t="shared" si="534"/>
        <v>130.31299999633708</v>
      </c>
      <c r="U211" s="300"/>
      <c r="V211" s="300">
        <f>SUM(V209:V210)</f>
        <v>75.37000000099485</v>
      </c>
      <c r="W211" s="300">
        <f t="shared" ref="W211" si="544">SUM(W209:W210)</f>
        <v>12.527999999949373</v>
      </c>
      <c r="X211" s="300">
        <f t="shared" ref="X211" si="545">SUM(X209:X210)</f>
        <v>56.318999996968905</v>
      </c>
      <c r="Y211" s="300">
        <f t="shared" si="535"/>
        <v>144.21699999791312</v>
      </c>
    </row>
    <row r="212" spans="1:25" x14ac:dyDescent="0.2">
      <c r="C212" s="263"/>
    </row>
    <row r="213" spans="1:25" x14ac:dyDescent="0.2">
      <c r="A213" s="261" t="s">
        <v>368</v>
      </c>
      <c r="C213" s="263"/>
    </row>
    <row r="214" spans="1:25" x14ac:dyDescent="0.2">
      <c r="A214" s="260" t="s">
        <v>356</v>
      </c>
      <c r="B214" s="300">
        <f>SUM(B199,B204,B209)</f>
        <v>12.848999999969692</v>
      </c>
      <c r="C214" s="300">
        <f t="shared" ref="C214:D214" si="546">SUM(C199,C204,C209)</f>
        <v>10.070999999948002</v>
      </c>
      <c r="D214" s="300">
        <f t="shared" si="546"/>
        <v>2.6900000000041384</v>
      </c>
      <c r="E214" s="300">
        <f>SUM(B214:D214)</f>
        <v>25.609999999921833</v>
      </c>
      <c r="F214" s="300"/>
      <c r="G214" s="300">
        <f>SUM(G199,G204,G209)</f>
        <v>14.710999999707884</v>
      </c>
      <c r="H214" s="300">
        <f t="shared" ref="H214:I214" si="547">SUM(H199,H204,H209)</f>
        <v>11.610000000172205</v>
      </c>
      <c r="I214" s="300">
        <f t="shared" si="547"/>
        <v>3.9970000000714556</v>
      </c>
      <c r="J214" s="300">
        <f>SUM(G214:I214)</f>
        <v>30.317999999951542</v>
      </c>
      <c r="K214" s="300"/>
      <c r="L214" s="300">
        <f>SUM(L199,L204,L209)</f>
        <v>15.830999999777223</v>
      </c>
      <c r="M214" s="300">
        <f t="shared" ref="M214:N214" si="548">SUM(M199,M204,M209)</f>
        <v>11.795000000136259</v>
      </c>
      <c r="N214" s="300">
        <f t="shared" si="548"/>
        <v>7.3699999999712222</v>
      </c>
      <c r="O214" s="300">
        <f>SUM(L214:N214)</f>
        <v>34.995999999884702</v>
      </c>
      <c r="P214" s="300"/>
      <c r="Q214" s="300">
        <f>SUM(Q199,Q204,Q209)</f>
        <v>17.261000000106549</v>
      </c>
      <c r="R214" s="300">
        <f t="shared" ref="R214:S214" si="549">SUM(R199,R204,R209)</f>
        <v>12.946000000347905</v>
      </c>
      <c r="S214" s="300">
        <f t="shared" si="549"/>
        <v>8.0730000000678039</v>
      </c>
      <c r="T214" s="300">
        <f>SUM(Q214:S214)</f>
        <v>38.280000000522257</v>
      </c>
      <c r="U214" s="300"/>
      <c r="V214" s="300">
        <f>SUM(V199,V204,V209)</f>
        <v>19.423000000182174</v>
      </c>
      <c r="W214" s="300">
        <f t="shared" ref="W214:X214" si="550">SUM(W199,W204,W209)</f>
        <v>14.727999999844268</v>
      </c>
      <c r="X214" s="300">
        <f t="shared" si="550"/>
        <v>9.3400000000666576</v>
      </c>
      <c r="Y214" s="300">
        <f>SUM(V214:X214)</f>
        <v>43.491000000093102</v>
      </c>
    </row>
    <row r="215" spans="1:25" x14ac:dyDescent="0.2">
      <c r="A215" s="260" t="s">
        <v>355</v>
      </c>
      <c r="B215" s="300">
        <f>SUM(B200,B205,B210)</f>
        <v>88.423000000098995</v>
      </c>
      <c r="C215" s="300">
        <f t="shared" ref="C215:D215" si="551">SUM(C200,C205,C210)</f>
        <v>3.5250000000200234</v>
      </c>
      <c r="D215" s="300">
        <f t="shared" si="551"/>
        <v>78.984999996763847</v>
      </c>
      <c r="E215" s="300">
        <f t="shared" ref="E215:E216" si="552">SUM(B215:D215)</f>
        <v>170.93299999688287</v>
      </c>
      <c r="F215" s="300"/>
      <c r="G215" s="300">
        <f>SUM(G200,G205,G210)</f>
        <v>105.66500000027617</v>
      </c>
      <c r="H215" s="300">
        <f t="shared" ref="H215:I215" si="553">SUM(H200,H205,H210)</f>
        <v>3.3920000000197605</v>
      </c>
      <c r="I215" s="300">
        <f t="shared" si="553"/>
        <v>88.744000002245258</v>
      </c>
      <c r="J215" s="300">
        <f t="shared" ref="J215:J216" si="554">SUM(G215:I215)</f>
        <v>197.80100000254117</v>
      </c>
      <c r="K215" s="300"/>
      <c r="L215" s="300">
        <f>SUM(L200,L205,L210)</f>
        <v>106.42800000082372</v>
      </c>
      <c r="M215" s="300">
        <f t="shared" ref="M215:N215" si="555">SUM(M200,M205,M210)</f>
        <v>6.703000000045213</v>
      </c>
      <c r="N215" s="300">
        <f t="shared" si="555"/>
        <v>76.409999998176801</v>
      </c>
      <c r="O215" s="300">
        <f t="shared" ref="O215:O216" si="556">SUM(L215:N215)</f>
        <v>189.54099999904571</v>
      </c>
      <c r="P215" s="300"/>
      <c r="Q215" s="300">
        <f>SUM(Q200,Q205,Q210)</f>
        <v>114.0870000011485</v>
      </c>
      <c r="R215" s="300">
        <f t="shared" ref="R215:S215" si="557">SUM(R200,R205,R210)</f>
        <v>7.4100000000387611</v>
      </c>
      <c r="S215" s="300">
        <f t="shared" si="557"/>
        <v>83.787999991844188</v>
      </c>
      <c r="T215" s="300">
        <f t="shared" ref="T215:T216" si="558">SUM(Q215:S215)</f>
        <v>205.28499999303145</v>
      </c>
      <c r="U215" s="300"/>
      <c r="V215" s="300">
        <f>SUM(V200,V205,V210)</f>
        <v>122.63400000168642</v>
      </c>
      <c r="W215" s="300">
        <f t="shared" ref="W215:X215" si="559">SUM(W200,W205,W210)</f>
        <v>8.5250000000709214</v>
      </c>
      <c r="X215" s="300">
        <f t="shared" si="559"/>
        <v>95.056999994548832</v>
      </c>
      <c r="Y215" s="300">
        <f t="shared" ref="Y215:Y216" si="560">SUM(V215:X215)</f>
        <v>226.21599999630615</v>
      </c>
    </row>
    <row r="216" spans="1:25" x14ac:dyDescent="0.2">
      <c r="A216" s="264" t="s">
        <v>354</v>
      </c>
      <c r="B216" s="301">
        <f>SUM(B214:B215)</f>
        <v>101.27200000006869</v>
      </c>
      <c r="C216" s="301">
        <f t="shared" ref="C216" si="561">SUM(C214:C215)</f>
        <v>13.595999999968026</v>
      </c>
      <c r="D216" s="301">
        <f t="shared" ref="D216" si="562">SUM(D214:D215)</f>
        <v>81.67499999676798</v>
      </c>
      <c r="E216" s="301">
        <f t="shared" si="552"/>
        <v>196.5429999968047</v>
      </c>
      <c r="F216" s="301"/>
      <c r="G216" s="301">
        <f>SUM(G214:G215)</f>
        <v>120.37599999998405</v>
      </c>
      <c r="H216" s="301">
        <f t="shared" ref="H216" si="563">SUM(H214:H215)</f>
        <v>15.002000000191966</v>
      </c>
      <c r="I216" s="301">
        <f t="shared" ref="I216" si="564">SUM(I214:I215)</f>
        <v>92.74100000231671</v>
      </c>
      <c r="J216" s="301">
        <f t="shared" si="554"/>
        <v>228.11900000249273</v>
      </c>
      <c r="K216" s="301"/>
      <c r="L216" s="301">
        <f>SUM(L214:L215)</f>
        <v>122.25900000060093</v>
      </c>
      <c r="M216" s="301">
        <f t="shared" ref="M216" si="565">SUM(M214:M215)</f>
        <v>18.49800000018147</v>
      </c>
      <c r="N216" s="301">
        <f t="shared" ref="N216" si="566">SUM(N214:N215)</f>
        <v>83.779999998148028</v>
      </c>
      <c r="O216" s="301">
        <f t="shared" si="556"/>
        <v>224.53699999893041</v>
      </c>
      <c r="P216" s="301"/>
      <c r="Q216" s="301">
        <f>SUM(Q214:Q215)</f>
        <v>131.34800000125506</v>
      </c>
      <c r="R216" s="301">
        <f t="shared" ref="R216" si="567">SUM(R214:R215)</f>
        <v>20.356000000386665</v>
      </c>
      <c r="S216" s="301">
        <f t="shared" ref="S216" si="568">SUM(S214:S215)</f>
        <v>91.860999991911996</v>
      </c>
      <c r="T216" s="301">
        <f t="shared" si="558"/>
        <v>243.56499999355373</v>
      </c>
      <c r="U216" s="301"/>
      <c r="V216" s="301">
        <f>SUM(V214:V215)</f>
        <v>142.0570000018686</v>
      </c>
      <c r="W216" s="301">
        <f t="shared" ref="W216" si="569">SUM(W214:W215)</f>
        <v>23.25299999991519</v>
      </c>
      <c r="X216" s="301">
        <f t="shared" ref="X216" si="570">SUM(X214:X215)</f>
        <v>104.39699999461548</v>
      </c>
      <c r="Y216" s="301">
        <f t="shared" si="560"/>
        <v>269.7069999963993</v>
      </c>
    </row>
    <row r="217" spans="1:25" x14ac:dyDescent="0.2">
      <c r="C217" s="263"/>
    </row>
    <row r="218" spans="1:25" x14ac:dyDescent="0.2">
      <c r="C218" s="263"/>
    </row>
    <row r="219" spans="1:25" x14ac:dyDescent="0.2">
      <c r="C219" s="263"/>
    </row>
    <row r="220" spans="1:25" ht="15" x14ac:dyDescent="0.25">
      <c r="A220" s="265" t="str">
        <f>"Industry 9 : "&amp; name!B12</f>
        <v>Industry 9 : Wholesale and retail trade</v>
      </c>
      <c r="B220" s="371">
        <f>$B$5</f>
        <v>2015</v>
      </c>
      <c r="C220" s="371"/>
      <c r="D220" s="371"/>
      <c r="E220" s="371"/>
      <c r="F220" s="320"/>
      <c r="G220" s="371">
        <f>$G$5</f>
        <v>2019</v>
      </c>
      <c r="H220" s="371"/>
      <c r="I220" s="371"/>
      <c r="J220" s="371"/>
      <c r="K220" s="320"/>
      <c r="L220" s="371">
        <f>$L$5</f>
        <v>2020</v>
      </c>
      <c r="M220" s="371"/>
      <c r="N220" s="371"/>
      <c r="O220" s="371"/>
      <c r="P220" s="318"/>
      <c r="Q220" s="371">
        <f>$Q$5</f>
        <v>2025</v>
      </c>
      <c r="R220" s="371"/>
      <c r="S220" s="371"/>
      <c r="T220" s="371"/>
      <c r="U220" s="320"/>
      <c r="V220" s="371">
        <f>$V$5</f>
        <v>2035</v>
      </c>
      <c r="W220" s="371"/>
      <c r="X220" s="371"/>
      <c r="Y220" s="371"/>
    </row>
    <row r="221" spans="1:25" x14ac:dyDescent="0.2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x14ac:dyDescent="0.2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x14ac:dyDescent="0.2">
      <c r="A223" s="261" t="str">
        <f>name!A34</f>
        <v>Motor vehicle trade</v>
      </c>
      <c r="C223" s="263"/>
    </row>
    <row r="224" spans="1:25" x14ac:dyDescent="0.2">
      <c r="A224" s="260" t="s">
        <v>356</v>
      </c>
      <c r="B224" s="300">
        <v>5.710999999910447</v>
      </c>
      <c r="C224" s="300">
        <v>4.656000000034318</v>
      </c>
      <c r="D224" s="300">
        <v>0.75700000000793932</v>
      </c>
      <c r="E224" s="300">
        <f>SUM(B224:D224)</f>
        <v>11.123999999952705</v>
      </c>
      <c r="F224" s="300"/>
      <c r="G224" s="300">
        <v>5.3540000000352297</v>
      </c>
      <c r="H224" s="300">
        <v>3.9870000001498291</v>
      </c>
      <c r="I224" s="300">
        <v>0.93000000002329308</v>
      </c>
      <c r="J224" s="300">
        <f>SUM(G224:I224)</f>
        <v>10.271000000208351</v>
      </c>
      <c r="K224" s="300"/>
      <c r="L224" s="300">
        <v>5.2260000000182876</v>
      </c>
      <c r="M224" s="300">
        <v>3.9110000001352732</v>
      </c>
      <c r="N224" s="300">
        <v>0.93299999999103633</v>
      </c>
      <c r="O224" s="300">
        <f>SUM(L224:N224)</f>
        <v>10.070000000144598</v>
      </c>
      <c r="P224" s="300"/>
      <c r="Q224" s="300">
        <v>5.4920000002131317</v>
      </c>
      <c r="R224" s="300">
        <v>3.7520000002486267</v>
      </c>
      <c r="S224" s="300">
        <v>0.93400000000991124</v>
      </c>
      <c r="T224" s="300">
        <f>SUM(Q224:S224)</f>
        <v>10.17800000047167</v>
      </c>
      <c r="U224" s="300"/>
      <c r="V224" s="300">
        <v>5.9769999999196495</v>
      </c>
      <c r="W224" s="300">
        <v>3.3659999999438983</v>
      </c>
      <c r="X224" s="300">
        <v>0.92699999998895721</v>
      </c>
      <c r="Y224" s="300">
        <f>SUM(V224:X224)</f>
        <v>10.269999999852505</v>
      </c>
    </row>
    <row r="225" spans="1:25" x14ac:dyDescent="0.2">
      <c r="A225" s="260" t="s">
        <v>355</v>
      </c>
      <c r="B225" s="300">
        <v>44.196000000141716</v>
      </c>
      <c r="C225" s="300">
        <v>4.8260000000703132</v>
      </c>
      <c r="D225" s="300">
        <v>5.7029999999974965</v>
      </c>
      <c r="E225" s="300">
        <f t="shared" ref="E225:E226" si="571">SUM(B225:D225)</f>
        <v>54.725000000209526</v>
      </c>
      <c r="F225" s="300"/>
      <c r="G225" s="300">
        <v>39.919000000167934</v>
      </c>
      <c r="H225" s="300">
        <v>3.1650000000480447</v>
      </c>
      <c r="I225" s="300">
        <v>6.3010000001226878</v>
      </c>
      <c r="J225" s="300">
        <f t="shared" ref="J225:J226" si="572">SUM(G225:I225)</f>
        <v>49.385000000338664</v>
      </c>
      <c r="K225" s="300"/>
      <c r="L225" s="300">
        <v>37.977000000403677</v>
      </c>
      <c r="M225" s="300">
        <v>3.8340000000342132</v>
      </c>
      <c r="N225" s="300">
        <v>5.833000000016483</v>
      </c>
      <c r="O225" s="300">
        <f t="shared" ref="O225:O226" si="573">SUM(L225:N225)</f>
        <v>47.644000000454376</v>
      </c>
      <c r="P225" s="300"/>
      <c r="Q225" s="300">
        <v>38.739000000473702</v>
      </c>
      <c r="R225" s="300">
        <v>3.8710000000368385</v>
      </c>
      <c r="S225" s="300">
        <v>5.946999999879262</v>
      </c>
      <c r="T225" s="300">
        <f t="shared" ref="T225:T226" si="574">SUM(Q225:S225)</f>
        <v>48.557000000389799</v>
      </c>
      <c r="U225" s="300"/>
      <c r="V225" s="300">
        <v>39.8540000006493</v>
      </c>
      <c r="W225" s="300">
        <v>3.8930000000524023</v>
      </c>
      <c r="X225" s="300">
        <v>6.1339999999874069</v>
      </c>
      <c r="Y225" s="300">
        <f t="shared" ref="Y225:Y226" si="575">SUM(V225:X225)</f>
        <v>49.881000000689113</v>
      </c>
    </row>
    <row r="226" spans="1:25" x14ac:dyDescent="0.2">
      <c r="A226" s="260" t="s">
        <v>354</v>
      </c>
      <c r="B226" s="300">
        <f>SUM(B224:B225)</f>
        <v>49.907000000052165</v>
      </c>
      <c r="C226" s="300">
        <f t="shared" ref="C226" si="576">SUM(C224:C225)</f>
        <v>9.4820000001046303</v>
      </c>
      <c r="D226" s="300">
        <f t="shared" ref="D226" si="577">SUM(D224:D225)</f>
        <v>6.4600000000054356</v>
      </c>
      <c r="E226" s="300">
        <f t="shared" si="571"/>
        <v>65.849000000162235</v>
      </c>
      <c r="F226" s="300"/>
      <c r="G226" s="300">
        <f>SUM(G224:G225)</f>
        <v>45.273000000203162</v>
      </c>
      <c r="H226" s="300">
        <f t="shared" ref="H226" si="578">SUM(H224:H225)</f>
        <v>7.1520000001978739</v>
      </c>
      <c r="I226" s="300">
        <f t="shared" ref="I226" si="579">SUM(I224:I225)</f>
        <v>7.2310000001459809</v>
      </c>
      <c r="J226" s="300">
        <f t="shared" si="572"/>
        <v>59.656000000547017</v>
      </c>
      <c r="K226" s="300"/>
      <c r="L226" s="300">
        <f>SUM(L224:L225)</f>
        <v>43.203000000421966</v>
      </c>
      <c r="M226" s="300">
        <f t="shared" ref="M226" si="580">SUM(M224:M225)</f>
        <v>7.7450000001694868</v>
      </c>
      <c r="N226" s="300">
        <f t="shared" ref="N226" si="581">SUM(N224:N225)</f>
        <v>6.7660000000075193</v>
      </c>
      <c r="O226" s="300">
        <f t="shared" si="573"/>
        <v>57.714000000598972</v>
      </c>
      <c r="P226" s="300"/>
      <c r="Q226" s="300">
        <f>SUM(Q224:Q225)</f>
        <v>44.231000000686834</v>
      </c>
      <c r="R226" s="300">
        <f t="shared" ref="R226" si="582">SUM(R224:R225)</f>
        <v>7.6230000002854652</v>
      </c>
      <c r="S226" s="300">
        <f t="shared" ref="S226" si="583">SUM(S224:S225)</f>
        <v>6.8809999998891733</v>
      </c>
      <c r="T226" s="300">
        <f t="shared" si="574"/>
        <v>58.735000000861476</v>
      </c>
      <c r="U226" s="300"/>
      <c r="V226" s="300">
        <f>SUM(V224:V225)</f>
        <v>45.831000000568949</v>
      </c>
      <c r="W226" s="300">
        <f t="shared" ref="W226" si="584">SUM(W224:W225)</f>
        <v>7.2589999999963002</v>
      </c>
      <c r="X226" s="300">
        <f t="shared" ref="X226" si="585">SUM(X224:X225)</f>
        <v>7.0609999999763637</v>
      </c>
      <c r="Y226" s="300">
        <f t="shared" si="575"/>
        <v>60.151000000541615</v>
      </c>
    </row>
    <row r="227" spans="1:25" x14ac:dyDescent="0.2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x14ac:dyDescent="0.2">
      <c r="A228" s="261" t="str">
        <f>name!A35</f>
        <v>Wholesale trade</v>
      </c>
      <c r="C228" s="263"/>
    </row>
    <row r="229" spans="1:25" x14ac:dyDescent="0.2">
      <c r="A229" s="260" t="s">
        <v>356</v>
      </c>
      <c r="B229" s="300">
        <v>16.322999999667854</v>
      </c>
      <c r="C229" s="300">
        <v>9.7360000000101756</v>
      </c>
      <c r="D229" s="300">
        <v>2.1320000000295467</v>
      </c>
      <c r="E229" s="300">
        <f>SUM(B229:D229)</f>
        <v>28.190999999707575</v>
      </c>
      <c r="F229" s="300"/>
      <c r="G229" s="300">
        <v>18.91300000004081</v>
      </c>
      <c r="H229" s="300">
        <v>6.3940000002024409</v>
      </c>
      <c r="I229" s="300">
        <v>1.700000000037944</v>
      </c>
      <c r="J229" s="300">
        <f>SUM(G229:I229)</f>
        <v>27.007000000281195</v>
      </c>
      <c r="K229" s="300"/>
      <c r="L229" s="300">
        <v>18.528000000015716</v>
      </c>
      <c r="M229" s="300">
        <v>6.6930000001850232</v>
      </c>
      <c r="N229" s="300">
        <v>1.7279999999756424</v>
      </c>
      <c r="O229" s="300">
        <f>SUM(L229:N229)</f>
        <v>26.949000000176383</v>
      </c>
      <c r="P229" s="300"/>
      <c r="Q229" s="300">
        <v>19.507000001027436</v>
      </c>
      <c r="R229" s="300">
        <v>6.436000000347347</v>
      </c>
      <c r="S229" s="300">
        <v>1.7240000000091809</v>
      </c>
      <c r="T229" s="300">
        <f>SUM(Q229:S229)</f>
        <v>27.667000001383965</v>
      </c>
      <c r="U229" s="300"/>
      <c r="V229" s="300">
        <v>21.226999999703157</v>
      </c>
      <c r="W229" s="300">
        <v>5.8279999999104994</v>
      </c>
      <c r="X229" s="300">
        <v>1.6999999999879845</v>
      </c>
      <c r="Y229" s="300">
        <f>SUM(V229:X229)</f>
        <v>28.75499999960164</v>
      </c>
    </row>
    <row r="230" spans="1:25" x14ac:dyDescent="0.2">
      <c r="A230" s="260" t="s">
        <v>355</v>
      </c>
      <c r="B230" s="300">
        <v>56.351000000153967</v>
      </c>
      <c r="C230" s="300">
        <v>4.3590000000506901</v>
      </c>
      <c r="D230" s="300">
        <v>4.5560000000806191</v>
      </c>
      <c r="E230" s="300">
        <f t="shared" ref="E230:E231" si="586">SUM(B230:D230)</f>
        <v>65.266000000285274</v>
      </c>
      <c r="F230" s="300"/>
      <c r="G230" s="300">
        <v>56.636000000205193</v>
      </c>
      <c r="H230" s="300">
        <v>2.849000000031868</v>
      </c>
      <c r="I230" s="300">
        <v>3.9090000000365484</v>
      </c>
      <c r="J230" s="300">
        <f t="shared" ref="J230:J231" si="587">SUM(G230:I230)</f>
        <v>63.394000000273614</v>
      </c>
      <c r="K230" s="300"/>
      <c r="L230" s="300">
        <v>55.529000000499011</v>
      </c>
      <c r="M230" s="300">
        <v>2.9670000000303265</v>
      </c>
      <c r="N230" s="300">
        <v>5.6500000000955879</v>
      </c>
      <c r="O230" s="300">
        <f t="shared" ref="O230:O231" si="588">SUM(L230:N230)</f>
        <v>64.146000000624923</v>
      </c>
      <c r="P230" s="300"/>
      <c r="Q230" s="300">
        <v>54.760000000541865</v>
      </c>
      <c r="R230" s="300">
        <v>2.9450000000239314</v>
      </c>
      <c r="S230" s="300">
        <v>5.6840000001431665</v>
      </c>
      <c r="T230" s="300">
        <f t="shared" ref="T230:T231" si="589">SUM(Q230:S230)</f>
        <v>63.389000000708961</v>
      </c>
      <c r="U230" s="300"/>
      <c r="V230" s="300">
        <v>52.613000000628993</v>
      </c>
      <c r="W230" s="300">
        <v>2.867000000027502</v>
      </c>
      <c r="X230" s="300">
        <v>5.6980000001184887</v>
      </c>
      <c r="Y230" s="300">
        <f t="shared" ref="Y230:Y231" si="590">SUM(V230:X230)</f>
        <v>61.178000000774986</v>
      </c>
    </row>
    <row r="231" spans="1:25" x14ac:dyDescent="0.2">
      <c r="A231" s="260" t="s">
        <v>354</v>
      </c>
      <c r="B231" s="300">
        <f>SUM(B229:B230)</f>
        <v>72.673999999821817</v>
      </c>
      <c r="C231" s="300">
        <f t="shared" ref="C231" si="591">SUM(C229:C230)</f>
        <v>14.095000000060866</v>
      </c>
      <c r="D231" s="300">
        <f t="shared" ref="D231" si="592">SUM(D229:D230)</f>
        <v>6.6880000001101658</v>
      </c>
      <c r="E231" s="300">
        <f t="shared" si="586"/>
        <v>93.456999999992846</v>
      </c>
      <c r="F231" s="300"/>
      <c r="G231" s="300">
        <f>SUM(G229:G230)</f>
        <v>75.549000000245996</v>
      </c>
      <c r="H231" s="300">
        <f t="shared" ref="H231" si="593">SUM(H229:H230)</f>
        <v>9.2430000002343089</v>
      </c>
      <c r="I231" s="300">
        <f t="shared" ref="I231" si="594">SUM(I229:I230)</f>
        <v>5.6090000000744924</v>
      </c>
      <c r="J231" s="300">
        <f t="shared" si="587"/>
        <v>90.401000000554788</v>
      </c>
      <c r="K231" s="300"/>
      <c r="L231" s="300">
        <f>SUM(L229:L230)</f>
        <v>74.057000000514734</v>
      </c>
      <c r="M231" s="300">
        <f t="shared" ref="M231" si="595">SUM(M229:M230)</f>
        <v>9.6600000002153497</v>
      </c>
      <c r="N231" s="300">
        <f t="shared" ref="N231" si="596">SUM(N229:N230)</f>
        <v>7.3780000000712302</v>
      </c>
      <c r="O231" s="300">
        <f t="shared" si="588"/>
        <v>91.095000000801306</v>
      </c>
      <c r="P231" s="300"/>
      <c r="Q231" s="300">
        <f>SUM(Q229:Q230)</f>
        <v>74.267000001569301</v>
      </c>
      <c r="R231" s="300">
        <f t="shared" ref="R231" si="597">SUM(R229:R230)</f>
        <v>9.3810000003712783</v>
      </c>
      <c r="S231" s="300">
        <f t="shared" ref="S231" si="598">SUM(S229:S230)</f>
        <v>7.4080000001523469</v>
      </c>
      <c r="T231" s="300">
        <f t="shared" si="589"/>
        <v>91.056000002092915</v>
      </c>
      <c r="U231" s="300"/>
      <c r="V231" s="300">
        <f>SUM(V229:V230)</f>
        <v>73.840000000332154</v>
      </c>
      <c r="W231" s="300">
        <f t="shared" ref="W231" si="599">SUM(W229:W230)</f>
        <v>8.6949999999380019</v>
      </c>
      <c r="X231" s="300">
        <f t="shared" ref="X231" si="600">SUM(X229:X230)</f>
        <v>7.3980000001064727</v>
      </c>
      <c r="Y231" s="300">
        <f t="shared" si="590"/>
        <v>89.933000000376637</v>
      </c>
    </row>
    <row r="232" spans="1:25" x14ac:dyDescent="0.2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x14ac:dyDescent="0.2">
      <c r="A233" s="261" t="str">
        <f>name!A36</f>
        <v>Retail trade</v>
      </c>
      <c r="C233" s="263"/>
    </row>
    <row r="234" spans="1:25" x14ac:dyDescent="0.2">
      <c r="A234" s="260" t="s">
        <v>356</v>
      </c>
      <c r="B234" s="300">
        <v>43.906999999048068</v>
      </c>
      <c r="C234" s="300">
        <v>102.68600000249326</v>
      </c>
      <c r="D234" s="300">
        <v>11.829000000188461</v>
      </c>
      <c r="E234" s="300">
        <f>SUM(B234:D234)</f>
        <v>158.4220000017298</v>
      </c>
      <c r="F234" s="300"/>
      <c r="G234" s="300">
        <v>55.394000000225596</v>
      </c>
      <c r="H234" s="300">
        <v>94.398000005034177</v>
      </c>
      <c r="I234" s="300">
        <v>12.235000000263677</v>
      </c>
      <c r="J234" s="300">
        <f>SUM(G234:I234)</f>
        <v>162.02700000552346</v>
      </c>
      <c r="K234" s="300"/>
      <c r="L234" s="300">
        <v>53.673000000098881</v>
      </c>
      <c r="M234" s="300">
        <v>98.506000005303065</v>
      </c>
      <c r="N234" s="300">
        <v>14.631999999722851</v>
      </c>
      <c r="O234" s="300">
        <f>SUM(L234:N234)</f>
        <v>166.81100000512481</v>
      </c>
      <c r="P234" s="300"/>
      <c r="Q234" s="300">
        <v>55.191000002978555</v>
      </c>
      <c r="R234" s="300">
        <v>95.198000009167743</v>
      </c>
      <c r="S234" s="300">
        <v>15.236999999998863</v>
      </c>
      <c r="T234" s="300">
        <f>SUM(Q234:S234)</f>
        <v>165.62600001214517</v>
      </c>
      <c r="U234" s="300"/>
      <c r="V234" s="300">
        <v>58.374999999121691</v>
      </c>
      <c r="W234" s="300">
        <v>88.794999998536582</v>
      </c>
      <c r="X234" s="300">
        <v>16.504000001059023</v>
      </c>
      <c r="Y234" s="300">
        <f>SUM(V234:X234)</f>
        <v>163.67399999871728</v>
      </c>
    </row>
    <row r="235" spans="1:25" x14ac:dyDescent="0.2">
      <c r="A235" s="260" t="s">
        <v>355</v>
      </c>
      <c r="B235" s="300">
        <v>55.734000000147944</v>
      </c>
      <c r="C235" s="300">
        <v>43.467000000723253</v>
      </c>
      <c r="D235" s="300">
        <v>9.9610000001521275</v>
      </c>
      <c r="E235" s="300">
        <f t="shared" ref="E235:E236" si="601">SUM(B235:D235)</f>
        <v>109.16200000102333</v>
      </c>
      <c r="F235" s="300"/>
      <c r="G235" s="300">
        <v>64.376000000219648</v>
      </c>
      <c r="H235" s="300">
        <v>39.23900000067794</v>
      </c>
      <c r="I235" s="300">
        <v>10.525000000149401</v>
      </c>
      <c r="J235" s="300">
        <f t="shared" ref="J235:J236" si="602">SUM(G235:I235)</f>
        <v>114.140000001047</v>
      </c>
      <c r="K235" s="300"/>
      <c r="L235" s="300">
        <v>62.67300000050939</v>
      </c>
      <c r="M235" s="300">
        <v>43.958000000272179</v>
      </c>
      <c r="N235" s="300">
        <v>12.598000000208108</v>
      </c>
      <c r="O235" s="300">
        <f t="shared" ref="O235:O236" si="603">SUM(L235:N235)</f>
        <v>119.22900000098967</v>
      </c>
      <c r="P235" s="300"/>
      <c r="Q235" s="300">
        <v>64.518000000544902</v>
      </c>
      <c r="R235" s="300">
        <v>44.109000000397515</v>
      </c>
      <c r="S235" s="300">
        <v>12.66600000024949</v>
      </c>
      <c r="T235" s="300">
        <f t="shared" ref="T235:T236" si="604">SUM(Q235:S235)</f>
        <v>121.2930000011919</v>
      </c>
      <c r="U235" s="300"/>
      <c r="V235" s="300">
        <v>68.366000000633449</v>
      </c>
      <c r="W235" s="300">
        <v>44.531000000552623</v>
      </c>
      <c r="X235" s="300">
        <v>12.848000000304765</v>
      </c>
      <c r="Y235" s="300">
        <f t="shared" ref="Y235:Y236" si="605">SUM(V235:X235)</f>
        <v>125.74500000149084</v>
      </c>
    </row>
    <row r="236" spans="1:25" x14ac:dyDescent="0.2">
      <c r="A236" s="260" t="s">
        <v>354</v>
      </c>
      <c r="B236" s="300">
        <f>SUM(B234:B235)</f>
        <v>99.640999999196012</v>
      </c>
      <c r="C236" s="300">
        <f t="shared" ref="C236" si="606">SUM(C234:C235)</f>
        <v>146.1530000032165</v>
      </c>
      <c r="D236" s="300">
        <f t="shared" ref="D236" si="607">SUM(D234:D235)</f>
        <v>21.790000000340591</v>
      </c>
      <c r="E236" s="300">
        <f t="shared" si="601"/>
        <v>267.5840000027531</v>
      </c>
      <c r="F236" s="300"/>
      <c r="G236" s="300">
        <f>SUM(G234:G235)</f>
        <v>119.77000000044524</v>
      </c>
      <c r="H236" s="300">
        <f t="shared" ref="H236" si="608">SUM(H234:H235)</f>
        <v>133.63700000571211</v>
      </c>
      <c r="I236" s="300">
        <f t="shared" ref="I236" si="609">SUM(I234:I235)</f>
        <v>22.760000000413079</v>
      </c>
      <c r="J236" s="300">
        <f t="shared" si="602"/>
        <v>276.16700000657045</v>
      </c>
      <c r="K236" s="300"/>
      <c r="L236" s="300">
        <f>SUM(L234:L235)</f>
        <v>116.34600000060827</v>
      </c>
      <c r="M236" s="300">
        <f t="shared" ref="M236" si="610">SUM(M234:M235)</f>
        <v>142.46400000557526</v>
      </c>
      <c r="N236" s="300">
        <f t="shared" ref="N236" si="611">SUM(N234:N235)</f>
        <v>27.229999999930961</v>
      </c>
      <c r="O236" s="300">
        <f t="shared" si="603"/>
        <v>286.0400000061145</v>
      </c>
      <c r="P236" s="300"/>
      <c r="Q236" s="300">
        <f>SUM(Q234:Q235)</f>
        <v>119.70900000352346</v>
      </c>
      <c r="R236" s="300">
        <f t="shared" ref="R236" si="612">SUM(R234:R235)</f>
        <v>139.30700000956526</v>
      </c>
      <c r="S236" s="300">
        <f t="shared" ref="S236" si="613">SUM(S234:S235)</f>
        <v>27.903000000248355</v>
      </c>
      <c r="T236" s="300">
        <f t="shared" si="604"/>
        <v>286.9190000133371</v>
      </c>
      <c r="U236" s="300"/>
      <c r="V236" s="300">
        <f>SUM(V234:V235)</f>
        <v>126.74099999975513</v>
      </c>
      <c r="W236" s="300">
        <f t="shared" ref="W236" si="614">SUM(W234:W235)</f>
        <v>133.32599999908922</v>
      </c>
      <c r="X236" s="300">
        <f t="shared" ref="X236" si="615">SUM(X234:X235)</f>
        <v>29.352000001363788</v>
      </c>
      <c r="Y236" s="300">
        <f t="shared" si="605"/>
        <v>289.41900000020814</v>
      </c>
    </row>
    <row r="237" spans="1:25" x14ac:dyDescent="0.2">
      <c r="C237" s="263"/>
    </row>
    <row r="238" spans="1:25" x14ac:dyDescent="0.2">
      <c r="A238" s="261" t="s">
        <v>367</v>
      </c>
      <c r="C238" s="263"/>
    </row>
    <row r="239" spans="1:25" x14ac:dyDescent="0.2">
      <c r="A239" s="260" t="s">
        <v>356</v>
      </c>
      <c r="B239" s="300">
        <f>SUM(B224,B229,B234)</f>
        <v>65.940999998626367</v>
      </c>
      <c r="C239" s="300">
        <f t="shared" ref="C239:D239" si="616">SUM(C224,C229,C234)</f>
        <v>117.07800000253775</v>
      </c>
      <c r="D239" s="300">
        <f t="shared" si="616"/>
        <v>14.718000000225947</v>
      </c>
      <c r="E239" s="300">
        <f>SUM(B239:D239)</f>
        <v>197.73700000139004</v>
      </c>
      <c r="F239" s="300"/>
      <c r="G239" s="300">
        <f>SUM(G224,G229,G234)</f>
        <v>79.661000000301641</v>
      </c>
      <c r="H239" s="300">
        <f t="shared" ref="H239:I239" si="617">SUM(H224,H229,H234)</f>
        <v>104.77900000538645</v>
      </c>
      <c r="I239" s="300">
        <f t="shared" si="617"/>
        <v>14.865000000324914</v>
      </c>
      <c r="J239" s="300">
        <f>SUM(G239:I239)</f>
        <v>199.30500000601302</v>
      </c>
      <c r="K239" s="300"/>
      <c r="L239" s="300">
        <f>SUM(L224,L229,L234)</f>
        <v>77.427000000132892</v>
      </c>
      <c r="M239" s="300">
        <f t="shared" ref="M239:N239" si="618">SUM(M224,M229,M234)</f>
        <v>109.11000000562336</v>
      </c>
      <c r="N239" s="300">
        <f t="shared" si="618"/>
        <v>17.292999999689528</v>
      </c>
      <c r="O239" s="300">
        <f>SUM(L239:N239)</f>
        <v>203.83000000544578</v>
      </c>
      <c r="P239" s="300"/>
      <c r="Q239" s="300">
        <f>SUM(Q224,Q229,Q234)</f>
        <v>80.190000004219115</v>
      </c>
      <c r="R239" s="300">
        <f t="shared" ref="R239:S239" si="619">SUM(R224,R229,R234)</f>
        <v>105.38600000976372</v>
      </c>
      <c r="S239" s="300">
        <f t="shared" si="619"/>
        <v>17.895000000017955</v>
      </c>
      <c r="T239" s="300">
        <f>SUM(Q239:S239)</f>
        <v>203.47100001400077</v>
      </c>
      <c r="U239" s="300"/>
      <c r="V239" s="300">
        <f>SUM(V224,V229,V234)</f>
        <v>85.578999998744493</v>
      </c>
      <c r="W239" s="300">
        <f t="shared" ref="W239:X239" si="620">SUM(W224,W229,W234)</f>
        <v>97.98899999839098</v>
      </c>
      <c r="X239" s="300">
        <f t="shared" si="620"/>
        <v>19.131000001035964</v>
      </c>
      <c r="Y239" s="300">
        <f>SUM(V239:X239)</f>
        <v>202.69899999817144</v>
      </c>
    </row>
    <row r="240" spans="1:25" x14ac:dyDescent="0.2">
      <c r="A240" s="260" t="s">
        <v>355</v>
      </c>
      <c r="B240" s="300">
        <f>SUM(B225,B230,B235)</f>
        <v>156.28100000044361</v>
      </c>
      <c r="C240" s="300">
        <f t="shared" ref="C240:D240" si="621">SUM(C225,C230,C235)</f>
        <v>52.652000000844254</v>
      </c>
      <c r="D240" s="300">
        <f t="shared" si="621"/>
        <v>20.220000000230243</v>
      </c>
      <c r="E240" s="300">
        <f t="shared" ref="E240:E241" si="622">SUM(B240:D240)</f>
        <v>229.15300000151811</v>
      </c>
      <c r="F240" s="300"/>
      <c r="G240" s="300">
        <f>SUM(G225,G230,G235)</f>
        <v>160.93100000059277</v>
      </c>
      <c r="H240" s="300">
        <f t="shared" ref="H240:I240" si="623">SUM(H225,H230,H235)</f>
        <v>45.253000000757851</v>
      </c>
      <c r="I240" s="300">
        <f t="shared" si="623"/>
        <v>20.735000000308638</v>
      </c>
      <c r="J240" s="300">
        <f t="shared" ref="J240:J241" si="624">SUM(G240:I240)</f>
        <v>226.91900000165927</v>
      </c>
      <c r="K240" s="300"/>
      <c r="L240" s="300">
        <f>SUM(L225,L230,L235)</f>
        <v>156.17900000141208</v>
      </c>
      <c r="M240" s="300">
        <f t="shared" ref="M240:N240" si="625">SUM(M225,M230,M235)</f>
        <v>50.759000000336719</v>
      </c>
      <c r="N240" s="300">
        <f t="shared" si="625"/>
        <v>24.081000000320181</v>
      </c>
      <c r="O240" s="300">
        <f t="shared" ref="O240:O241" si="626">SUM(L240:N240)</f>
        <v>231.01900000206899</v>
      </c>
      <c r="P240" s="300"/>
      <c r="Q240" s="300">
        <f>SUM(Q225,Q230,Q235)</f>
        <v>158.01700000156046</v>
      </c>
      <c r="R240" s="300">
        <f t="shared" ref="R240:S240" si="627">SUM(R225,R230,R235)</f>
        <v>50.925000000458283</v>
      </c>
      <c r="S240" s="300">
        <f t="shared" si="627"/>
        <v>24.297000000271918</v>
      </c>
      <c r="T240" s="300">
        <f t="shared" ref="T240:T241" si="628">SUM(Q240:S240)</f>
        <v>233.23900000229065</v>
      </c>
      <c r="U240" s="300"/>
      <c r="V240" s="300">
        <f>SUM(V225,V230,V235)</f>
        <v>160.83300000191173</v>
      </c>
      <c r="W240" s="300">
        <f t="shared" ref="W240:X240" si="629">SUM(W225,W230,W235)</f>
        <v>51.291000000632529</v>
      </c>
      <c r="X240" s="300">
        <f t="shared" si="629"/>
        <v>24.680000000410661</v>
      </c>
      <c r="Y240" s="300">
        <f t="shared" ref="Y240:Y241" si="630">SUM(V240:X240)</f>
        <v>236.80400000295492</v>
      </c>
    </row>
    <row r="241" spans="1:25" x14ac:dyDescent="0.2">
      <c r="A241" s="264" t="s">
        <v>354</v>
      </c>
      <c r="B241" s="301">
        <f>SUM(B239:B240)</f>
        <v>222.22199999906996</v>
      </c>
      <c r="C241" s="301">
        <f t="shared" ref="C241" si="631">SUM(C239:C240)</f>
        <v>169.730000003382</v>
      </c>
      <c r="D241" s="301">
        <f t="shared" ref="D241" si="632">SUM(D239:D240)</f>
        <v>34.938000000456192</v>
      </c>
      <c r="E241" s="301">
        <f t="shared" si="622"/>
        <v>426.89000000290821</v>
      </c>
      <c r="F241" s="301"/>
      <c r="G241" s="301">
        <f>SUM(G239:G240)</f>
        <v>240.59200000089442</v>
      </c>
      <c r="H241" s="301">
        <f t="shared" ref="H241" si="633">SUM(H239:H240)</f>
        <v>150.0320000061443</v>
      </c>
      <c r="I241" s="301">
        <f t="shared" ref="I241" si="634">SUM(I239:I240)</f>
        <v>35.60000000063355</v>
      </c>
      <c r="J241" s="301">
        <f t="shared" si="624"/>
        <v>426.22400000767226</v>
      </c>
      <c r="K241" s="301"/>
      <c r="L241" s="301">
        <f>SUM(L239:L240)</f>
        <v>233.60600000154497</v>
      </c>
      <c r="M241" s="301">
        <f t="shared" ref="M241" si="635">SUM(M239:M240)</f>
        <v>159.86900000596009</v>
      </c>
      <c r="N241" s="301">
        <f t="shared" ref="N241" si="636">SUM(N239:N240)</f>
        <v>41.374000000009708</v>
      </c>
      <c r="O241" s="301">
        <f t="shared" si="626"/>
        <v>434.84900000751475</v>
      </c>
      <c r="P241" s="301"/>
      <c r="Q241" s="301">
        <f>SUM(Q239:Q240)</f>
        <v>238.20700000577958</v>
      </c>
      <c r="R241" s="301">
        <f t="shared" ref="R241" si="637">SUM(R239:R240)</f>
        <v>156.31100001022202</v>
      </c>
      <c r="S241" s="301">
        <f t="shared" ref="S241" si="638">SUM(S239:S240)</f>
        <v>42.192000000289873</v>
      </c>
      <c r="T241" s="301">
        <f t="shared" si="628"/>
        <v>436.71000001629142</v>
      </c>
      <c r="U241" s="301"/>
      <c r="V241" s="301">
        <f>SUM(V239:V240)</f>
        <v>246.41200000065623</v>
      </c>
      <c r="W241" s="301">
        <f t="shared" ref="W241" si="639">SUM(W239:W240)</f>
        <v>149.27999999902352</v>
      </c>
      <c r="X241" s="301">
        <f t="shared" ref="X241" si="640">SUM(X239:X240)</f>
        <v>43.811000001446629</v>
      </c>
      <c r="Y241" s="301">
        <f t="shared" si="630"/>
        <v>439.5030000011264</v>
      </c>
    </row>
    <row r="242" spans="1:25" x14ac:dyDescent="0.2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x14ac:dyDescent="0.2">
      <c r="C243" s="263"/>
    </row>
    <row r="244" spans="1:25" x14ac:dyDescent="0.2">
      <c r="A244" s="261"/>
    </row>
    <row r="245" spans="1:25" ht="15" x14ac:dyDescent="0.25">
      <c r="A245" s="265" t="str">
        <f>"Industry 10 : "&amp; name!B13</f>
        <v>Industry 10 : Transport and storage</v>
      </c>
      <c r="B245" s="371">
        <f>$B$5</f>
        <v>2015</v>
      </c>
      <c r="C245" s="371"/>
      <c r="D245" s="371"/>
      <c r="E245" s="371"/>
      <c r="F245" s="320"/>
      <c r="G245" s="371">
        <f>$G$5</f>
        <v>2019</v>
      </c>
      <c r="H245" s="371"/>
      <c r="I245" s="371"/>
      <c r="J245" s="371"/>
      <c r="K245" s="320"/>
      <c r="L245" s="371">
        <f>$L$5</f>
        <v>2020</v>
      </c>
      <c r="M245" s="371"/>
      <c r="N245" s="371"/>
      <c r="O245" s="371"/>
      <c r="P245" s="318"/>
      <c r="Q245" s="371">
        <f>$Q$5</f>
        <v>2025</v>
      </c>
      <c r="R245" s="371"/>
      <c r="S245" s="371"/>
      <c r="T245" s="371"/>
      <c r="U245" s="320"/>
      <c r="V245" s="371">
        <f>$V$5</f>
        <v>2035</v>
      </c>
      <c r="W245" s="371"/>
      <c r="X245" s="371"/>
      <c r="Y245" s="371"/>
    </row>
    <row r="246" spans="1:25" x14ac:dyDescent="0.2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x14ac:dyDescent="0.2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x14ac:dyDescent="0.2">
      <c r="A248" s="261" t="str">
        <f>name!A37</f>
        <v>Land transport, etc</v>
      </c>
      <c r="C248" s="263"/>
    </row>
    <row r="249" spans="1:25" x14ac:dyDescent="0.2">
      <c r="A249" s="260" t="s">
        <v>356</v>
      </c>
      <c r="B249" s="300">
        <v>3.5539999999580423</v>
      </c>
      <c r="C249" s="300">
        <v>2.471999999977156</v>
      </c>
      <c r="D249" s="300">
        <v>0.87799999999784428</v>
      </c>
      <c r="E249" s="300">
        <f>SUM(B249:D249)</f>
        <v>6.9039999999330428</v>
      </c>
      <c r="F249" s="300"/>
      <c r="G249" s="300">
        <v>4.3389999999682942</v>
      </c>
      <c r="H249" s="300">
        <v>2.0480000000625465</v>
      </c>
      <c r="I249" s="300">
        <v>1.1440000000351003</v>
      </c>
      <c r="J249" s="300">
        <f>SUM(G249:I249)</f>
        <v>7.5310000000659407</v>
      </c>
      <c r="K249" s="300"/>
      <c r="L249" s="300">
        <v>4.2409999999733294</v>
      </c>
      <c r="M249" s="300">
        <v>2.63500000006258</v>
      </c>
      <c r="N249" s="300">
        <v>0.85300000000145704</v>
      </c>
      <c r="O249" s="300">
        <f>SUM(L249:N249)</f>
        <v>7.7290000000373666</v>
      </c>
      <c r="P249" s="300"/>
      <c r="Q249" s="300">
        <v>4.368000000129908</v>
      </c>
      <c r="R249" s="300">
        <v>2.748000000135943</v>
      </c>
      <c r="S249" s="300">
        <v>0.87400000001749312</v>
      </c>
      <c r="T249" s="300">
        <f>SUM(Q249:S249)</f>
        <v>7.9900000002833442</v>
      </c>
      <c r="U249" s="300"/>
      <c r="V249" s="300">
        <v>4.5519999999808807</v>
      </c>
      <c r="W249" s="300">
        <v>2.8929999999453386</v>
      </c>
      <c r="X249" s="300">
        <v>0.87299999998706401</v>
      </c>
      <c r="Y249" s="300">
        <f>SUM(V249:X249)</f>
        <v>8.3179999999132832</v>
      </c>
    </row>
    <row r="250" spans="1:25" x14ac:dyDescent="0.2">
      <c r="A250" s="260" t="s">
        <v>355</v>
      </c>
      <c r="B250" s="300">
        <v>30.914000000098046</v>
      </c>
      <c r="C250" s="300">
        <v>3.1350000000471496</v>
      </c>
      <c r="D250" s="300">
        <v>8.6950000000374885</v>
      </c>
      <c r="E250" s="300">
        <f t="shared" ref="E250:E251" si="641">SUM(B250:D250)</f>
        <v>42.744000000182687</v>
      </c>
      <c r="F250" s="300"/>
      <c r="G250" s="300">
        <v>31.165000000136565</v>
      </c>
      <c r="H250" s="300">
        <v>2.1810000000332712</v>
      </c>
      <c r="I250" s="300">
        <v>9.8059999994331388</v>
      </c>
      <c r="J250" s="300">
        <f t="shared" ref="J250:J251" si="642">SUM(G250:I250)</f>
        <v>43.151999999602978</v>
      </c>
      <c r="K250" s="300"/>
      <c r="L250" s="300">
        <v>29.643000000355251</v>
      </c>
      <c r="M250" s="300">
        <v>2.6650000000396741</v>
      </c>
      <c r="N250" s="300">
        <v>8.1050000002740745</v>
      </c>
      <c r="O250" s="300">
        <f t="shared" ref="O250:O251" si="643">SUM(L250:N250)</f>
        <v>40.413000000669001</v>
      </c>
      <c r="P250" s="300"/>
      <c r="Q250" s="300">
        <v>29.275000000402098</v>
      </c>
      <c r="R250" s="300">
        <v>2.7140000000377094</v>
      </c>
      <c r="S250" s="300">
        <v>8.4150000006539418</v>
      </c>
      <c r="T250" s="300">
        <f t="shared" ref="T250:T251" si="644">SUM(Q250:S250)</f>
        <v>40.404000001093749</v>
      </c>
      <c r="U250" s="300"/>
      <c r="V250" s="300">
        <v>27.654000000481158</v>
      </c>
      <c r="W250" s="300">
        <v>2.7670000000646571</v>
      </c>
      <c r="X250" s="300">
        <v>8.8470000006063252</v>
      </c>
      <c r="Y250" s="300">
        <f t="shared" ref="Y250:Y251" si="645">SUM(V250:X250)</f>
        <v>39.268000001152146</v>
      </c>
    </row>
    <row r="251" spans="1:25" x14ac:dyDescent="0.2">
      <c r="A251" s="260" t="s">
        <v>354</v>
      </c>
      <c r="B251" s="300">
        <f>SUM(B249:B250)</f>
        <v>34.468000000056087</v>
      </c>
      <c r="C251" s="300">
        <f t="shared" ref="C251" si="646">SUM(C249:C250)</f>
        <v>5.6070000000243052</v>
      </c>
      <c r="D251" s="300">
        <f t="shared" ref="D251" si="647">SUM(D249:D250)</f>
        <v>9.5730000000353321</v>
      </c>
      <c r="E251" s="300">
        <f t="shared" si="641"/>
        <v>49.648000000115729</v>
      </c>
      <c r="F251" s="300"/>
      <c r="G251" s="300">
        <f>SUM(G249:G250)</f>
        <v>35.50400000010486</v>
      </c>
      <c r="H251" s="300">
        <f t="shared" ref="H251" si="648">SUM(H249:H250)</f>
        <v>4.2290000000958177</v>
      </c>
      <c r="I251" s="300">
        <f t="shared" ref="I251" si="649">SUM(I249:I250)</f>
        <v>10.94999999946824</v>
      </c>
      <c r="J251" s="300">
        <f t="shared" si="642"/>
        <v>50.682999999668915</v>
      </c>
      <c r="K251" s="300"/>
      <c r="L251" s="300">
        <f>SUM(L249:L250)</f>
        <v>33.884000000328584</v>
      </c>
      <c r="M251" s="300">
        <f t="shared" ref="M251" si="650">SUM(M249:M250)</f>
        <v>5.300000000102254</v>
      </c>
      <c r="N251" s="300">
        <f t="shared" ref="N251" si="651">SUM(N249:N250)</f>
        <v>8.9580000002755309</v>
      </c>
      <c r="O251" s="300">
        <f t="shared" si="643"/>
        <v>48.142000000706368</v>
      </c>
      <c r="P251" s="300"/>
      <c r="Q251" s="300">
        <f>SUM(Q249:Q250)</f>
        <v>33.643000000532005</v>
      </c>
      <c r="R251" s="300">
        <f t="shared" ref="R251" si="652">SUM(R249:R250)</f>
        <v>5.4620000001736528</v>
      </c>
      <c r="S251" s="300">
        <f t="shared" ref="S251" si="653">SUM(S249:S250)</f>
        <v>9.2890000006714342</v>
      </c>
      <c r="T251" s="300">
        <f t="shared" si="644"/>
        <v>48.394000001377094</v>
      </c>
      <c r="U251" s="300"/>
      <c r="V251" s="300">
        <f>SUM(V249:V250)</f>
        <v>32.206000000462041</v>
      </c>
      <c r="W251" s="300">
        <f t="shared" ref="W251" si="654">SUM(W249:W250)</f>
        <v>5.6600000000099957</v>
      </c>
      <c r="X251" s="300">
        <f t="shared" ref="X251" si="655">SUM(X249:X250)</f>
        <v>9.7200000005933891</v>
      </c>
      <c r="Y251" s="300">
        <f t="shared" si="645"/>
        <v>47.586000001065422</v>
      </c>
    </row>
    <row r="252" spans="1:25" x14ac:dyDescent="0.2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x14ac:dyDescent="0.2">
      <c r="A253" s="261" t="str">
        <f>name!A38</f>
        <v>Water transport</v>
      </c>
      <c r="C253" s="263"/>
    </row>
    <row r="254" spans="1:25" x14ac:dyDescent="0.2">
      <c r="A254" s="260" t="s">
        <v>356</v>
      </c>
      <c r="B254" s="300">
        <v>0.32399999999712553</v>
      </c>
      <c r="C254" s="300">
        <v>0.13199999999865547</v>
      </c>
      <c r="D254" s="300">
        <v>5.1999999999869442E-2</v>
      </c>
      <c r="E254" s="300">
        <f>SUM(B254:D254)</f>
        <v>0.50799999999565049</v>
      </c>
      <c r="F254" s="300"/>
      <c r="G254" s="300">
        <v>0.14299999999904936</v>
      </c>
      <c r="H254" s="300">
        <v>8.3000000002082325E-2</v>
      </c>
      <c r="I254" s="300">
        <v>2.900000000064238E-2</v>
      </c>
      <c r="J254" s="300">
        <f>SUM(G254:I254)</f>
        <v>0.25500000000177409</v>
      </c>
      <c r="K254" s="300"/>
      <c r="L254" s="300">
        <v>0.1319999999992994</v>
      </c>
      <c r="M254" s="300">
        <v>0.11200000000203128</v>
      </c>
      <c r="N254" s="300">
        <v>1.6000000000015863E-2</v>
      </c>
      <c r="O254" s="300">
        <f>SUM(L254:N254)</f>
        <v>0.26000000000134654</v>
      </c>
      <c r="P254" s="300"/>
      <c r="Q254" s="300">
        <v>0.10700000000234505</v>
      </c>
      <c r="R254" s="300">
        <v>9.1000000003448558E-2</v>
      </c>
      <c r="S254" s="300">
        <v>1.3000000000168072E-2</v>
      </c>
      <c r="T254" s="300">
        <f>SUM(Q254:S254)</f>
        <v>0.21100000000596167</v>
      </c>
      <c r="U254" s="300"/>
      <c r="V254" s="300">
        <v>9.3999999999864081E-2</v>
      </c>
      <c r="W254" s="300">
        <v>7.9999999998628973E-2</v>
      </c>
      <c r="X254" s="300">
        <v>1.1999999999838798E-2</v>
      </c>
      <c r="Y254" s="300">
        <f>SUM(V254:X254)</f>
        <v>0.18599999999833186</v>
      </c>
    </row>
    <row r="255" spans="1:25" x14ac:dyDescent="0.2">
      <c r="A255" s="260" t="s">
        <v>355</v>
      </c>
      <c r="B255" s="300">
        <v>0.53099999999987924</v>
      </c>
      <c r="C255" s="300">
        <v>0.14100000000017129</v>
      </c>
      <c r="D255" s="300">
        <v>2.800000000049541E-2</v>
      </c>
      <c r="E255" s="300">
        <f t="shared" ref="E255:E256" si="656">SUM(B255:D255)</f>
        <v>0.70000000000054596</v>
      </c>
      <c r="F255" s="300"/>
      <c r="G255" s="300">
        <v>0.20699999999998819</v>
      </c>
      <c r="H255" s="300">
        <v>0.10200000000008715</v>
      </c>
      <c r="I255" s="300">
        <v>6.9000000000619038E-2</v>
      </c>
      <c r="J255" s="300">
        <f t="shared" ref="J255:J256" si="657">SUM(G255:I255)</f>
        <v>0.37800000000069434</v>
      </c>
      <c r="K255" s="300"/>
      <c r="L255" s="300">
        <v>0.19799999999991422</v>
      </c>
      <c r="M255" s="300">
        <v>0.10800000000029565</v>
      </c>
      <c r="N255" s="300">
        <v>8.4000000001704475E-2</v>
      </c>
      <c r="O255" s="300">
        <f t="shared" ref="O255:O256" si="658">SUM(L255:N255)</f>
        <v>0.39000000000191437</v>
      </c>
      <c r="P255" s="300"/>
      <c r="Q255" s="300">
        <v>0.16300000000003922</v>
      </c>
      <c r="R255" s="300">
        <v>8.7000000000010402E-2</v>
      </c>
      <c r="S255" s="300">
        <v>6.6000000002487375E-2</v>
      </c>
      <c r="T255" s="300">
        <f t="shared" ref="T255:T256" si="659">SUM(Q255:S255)</f>
        <v>0.31600000000253703</v>
      </c>
      <c r="U255" s="300"/>
      <c r="V255" s="300">
        <v>0.14699999999944502</v>
      </c>
      <c r="W255" s="300">
        <v>7.6999999999725038E-2</v>
      </c>
      <c r="X255" s="300">
        <v>5.4000000001805139E-2</v>
      </c>
      <c r="Y255" s="300">
        <f t="shared" ref="Y255:Y256" si="660">SUM(V255:X255)</f>
        <v>0.27800000000097519</v>
      </c>
    </row>
    <row r="256" spans="1:25" x14ac:dyDescent="0.2">
      <c r="A256" s="260" t="s">
        <v>354</v>
      </c>
      <c r="B256" s="300">
        <f>SUM(B254:B255)</f>
        <v>0.85499999999700482</v>
      </c>
      <c r="C256" s="300">
        <f t="shared" ref="C256" si="661">SUM(C254:C255)</f>
        <v>0.27299999999882674</v>
      </c>
      <c r="D256" s="300">
        <f t="shared" ref="D256" si="662">SUM(D254:D255)</f>
        <v>8.0000000000364849E-2</v>
      </c>
      <c r="E256" s="300">
        <f t="shared" si="656"/>
        <v>1.2079999999961963</v>
      </c>
      <c r="F256" s="300"/>
      <c r="G256" s="300">
        <f>SUM(G254:G255)</f>
        <v>0.34999999999903753</v>
      </c>
      <c r="H256" s="300">
        <f t="shared" ref="H256" si="663">SUM(H254:H255)</f>
        <v>0.18500000000216948</v>
      </c>
      <c r="I256" s="300">
        <f t="shared" ref="I256" si="664">SUM(I254:I255)</f>
        <v>9.8000000001261411E-2</v>
      </c>
      <c r="J256" s="300">
        <f t="shared" si="657"/>
        <v>0.63300000000246837</v>
      </c>
      <c r="K256" s="300"/>
      <c r="L256" s="300">
        <f>SUM(L254:L255)</f>
        <v>0.32999999999921359</v>
      </c>
      <c r="M256" s="300">
        <f t="shared" ref="M256" si="665">SUM(M254:M255)</f>
        <v>0.22000000000232695</v>
      </c>
      <c r="N256" s="300">
        <f t="shared" ref="N256" si="666">SUM(N254:N255)</f>
        <v>0.10000000000172034</v>
      </c>
      <c r="O256" s="300">
        <f t="shared" si="658"/>
        <v>0.65000000000326097</v>
      </c>
      <c r="P256" s="300"/>
      <c r="Q256" s="300">
        <f>SUM(Q254:Q255)</f>
        <v>0.27000000000238428</v>
      </c>
      <c r="R256" s="300">
        <f t="shared" ref="R256" si="667">SUM(R254:R255)</f>
        <v>0.17800000000345895</v>
      </c>
      <c r="S256" s="300">
        <f t="shared" ref="S256" si="668">SUM(S254:S255)</f>
        <v>7.9000000002655446E-2</v>
      </c>
      <c r="T256" s="300">
        <f t="shared" si="659"/>
        <v>0.52700000000849867</v>
      </c>
      <c r="U256" s="300"/>
      <c r="V256" s="300">
        <f>SUM(V254:V255)</f>
        <v>0.2409999999993091</v>
      </c>
      <c r="W256" s="300">
        <f t="shared" ref="W256" si="669">SUM(W254:W255)</f>
        <v>0.15699999999835401</v>
      </c>
      <c r="X256" s="300">
        <f t="shared" ref="X256" si="670">SUM(X254:X255)</f>
        <v>6.6000000001643938E-2</v>
      </c>
      <c r="Y256" s="300">
        <f t="shared" si="660"/>
        <v>0.46399999999930708</v>
      </c>
    </row>
    <row r="257" spans="1:25" x14ac:dyDescent="0.2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x14ac:dyDescent="0.2">
      <c r="A258" s="261" t="str">
        <f>name!A39</f>
        <v>Air transport</v>
      </c>
      <c r="C258" s="263"/>
    </row>
    <row r="259" spans="1:25" x14ac:dyDescent="0.2">
      <c r="A259" s="260" t="s">
        <v>356</v>
      </c>
      <c r="B259" s="300">
        <v>0.46899999999313735</v>
      </c>
      <c r="C259" s="300">
        <v>0.215999999999264</v>
      </c>
      <c r="D259" s="300">
        <v>2.0000000000105465E-2</v>
      </c>
      <c r="E259" s="300">
        <f>SUM(B259:D259)</f>
        <v>0.70499999999250684</v>
      </c>
      <c r="F259" s="300"/>
      <c r="G259" s="300">
        <v>0.64999999999657487</v>
      </c>
      <c r="H259" s="300">
        <v>0.33100000000903435</v>
      </c>
      <c r="I259" s="300">
        <v>6.3000000000539985E-2</v>
      </c>
      <c r="J259" s="300">
        <f>SUM(G259:I259)</f>
        <v>1.0440000000061491</v>
      </c>
      <c r="K259" s="300"/>
      <c r="L259" s="300">
        <v>0.57299999999767592</v>
      </c>
      <c r="M259" s="300">
        <v>0.38300000000874956</v>
      </c>
      <c r="N259" s="300">
        <v>2.099999999994508E-2</v>
      </c>
      <c r="O259" s="300">
        <f>SUM(L259:N259)</f>
        <v>0.97700000000637055</v>
      </c>
      <c r="P259" s="300"/>
      <c r="Q259" s="300">
        <v>0.70500000002440077</v>
      </c>
      <c r="R259" s="300">
        <v>0.517000000023349</v>
      </c>
      <c r="S259" s="300">
        <v>2.4000000000103106E-2</v>
      </c>
      <c r="T259" s="300">
        <f>SUM(Q259:S259)</f>
        <v>1.2460000000478528</v>
      </c>
      <c r="U259" s="300"/>
      <c r="V259" s="300">
        <v>0.79899999999686389</v>
      </c>
      <c r="W259" s="300">
        <v>0.60799999999065335</v>
      </c>
      <c r="X259" s="300">
        <v>2.6999999999816306E-2</v>
      </c>
      <c r="Y259" s="300">
        <f>SUM(V259:X259)</f>
        <v>1.4339999999873334</v>
      </c>
    </row>
    <row r="260" spans="1:25" x14ac:dyDescent="0.2">
      <c r="A260" s="260" t="s">
        <v>355</v>
      </c>
      <c r="B260" s="300">
        <v>1.2330000000007741</v>
      </c>
      <c r="C260" s="300">
        <v>6.5000000000112343E-2</v>
      </c>
      <c r="D260" s="300">
        <v>4.599999999998694E-2</v>
      </c>
      <c r="E260" s="300">
        <f t="shared" ref="E260:E261" si="671">SUM(B260:D260)</f>
        <v>1.3440000000008734</v>
      </c>
      <c r="F260" s="300"/>
      <c r="G260" s="300">
        <v>1.4730000000011612</v>
      </c>
      <c r="H260" s="300">
        <v>9.2000000000123427E-2</v>
      </c>
      <c r="I260" s="300">
        <v>3.0000000000223462E-2</v>
      </c>
      <c r="J260" s="300">
        <f t="shared" ref="J260:J261" si="672">SUM(G260:I260)</f>
        <v>1.5950000000015081</v>
      </c>
      <c r="K260" s="300"/>
      <c r="L260" s="300">
        <v>1.3440000000021168</v>
      </c>
      <c r="M260" s="300">
        <v>9.0000000000542035E-2</v>
      </c>
      <c r="N260" s="300">
        <v>0.18600000000098302</v>
      </c>
      <c r="O260" s="300">
        <f t="shared" ref="O260:O261" si="673">SUM(L260:N260)</f>
        <v>1.6200000000036419</v>
      </c>
      <c r="P260" s="300"/>
      <c r="Q260" s="300">
        <v>1.6460000000032451</v>
      </c>
      <c r="R260" s="300">
        <v>0.11400000000035851</v>
      </c>
      <c r="S260" s="300">
        <v>0.23499999999888571</v>
      </c>
      <c r="T260" s="300">
        <f t="shared" ref="T260:T261" si="674">SUM(Q260:S260)</f>
        <v>1.9950000000024892</v>
      </c>
      <c r="U260" s="300"/>
      <c r="V260" s="300">
        <v>1.7789999999984905</v>
      </c>
      <c r="W260" s="300">
        <v>0.12700000000035441</v>
      </c>
      <c r="X260" s="300">
        <v>0.26400000000094503</v>
      </c>
      <c r="Y260" s="300">
        <f t="shared" ref="Y260:Y261" si="675">SUM(V260:X260)</f>
        <v>2.1699999999997899</v>
      </c>
    </row>
    <row r="261" spans="1:25" x14ac:dyDescent="0.2">
      <c r="A261" s="260" t="s">
        <v>354</v>
      </c>
      <c r="B261" s="300">
        <f>SUM(B259:B260)</f>
        <v>1.7019999999939115</v>
      </c>
      <c r="C261" s="300">
        <f t="shared" ref="C261" si="676">SUM(C259:C260)</f>
        <v>0.28099999999937636</v>
      </c>
      <c r="D261" s="300">
        <f t="shared" ref="D261" si="677">SUM(D259:D260)</f>
        <v>6.6000000000092401E-2</v>
      </c>
      <c r="E261" s="300">
        <f t="shared" si="671"/>
        <v>2.0489999999933803</v>
      </c>
      <c r="F261" s="300"/>
      <c r="G261" s="300">
        <f>SUM(G259:G260)</f>
        <v>2.1229999999977363</v>
      </c>
      <c r="H261" s="300">
        <f t="shared" ref="H261" si="678">SUM(H259:H260)</f>
        <v>0.42300000000915777</v>
      </c>
      <c r="I261" s="300">
        <f t="shared" ref="I261" si="679">SUM(I259:I260)</f>
        <v>9.3000000000763444E-2</v>
      </c>
      <c r="J261" s="300">
        <f t="shared" si="672"/>
        <v>2.6390000000076572</v>
      </c>
      <c r="K261" s="300"/>
      <c r="L261" s="300">
        <f>SUM(L259:L260)</f>
        <v>1.9169999999997929</v>
      </c>
      <c r="M261" s="300">
        <f t="shared" ref="M261" si="680">SUM(M259:M260)</f>
        <v>0.4730000000092916</v>
      </c>
      <c r="N261" s="300">
        <f t="shared" ref="N261" si="681">SUM(N259:N260)</f>
        <v>0.20700000000092811</v>
      </c>
      <c r="O261" s="300">
        <f t="shared" si="673"/>
        <v>2.5970000000100124</v>
      </c>
      <c r="P261" s="300"/>
      <c r="Q261" s="300">
        <f>SUM(Q259:Q260)</f>
        <v>2.3510000000276459</v>
      </c>
      <c r="R261" s="300">
        <f t="shared" ref="R261" si="682">SUM(R259:R260)</f>
        <v>0.63100000002370749</v>
      </c>
      <c r="S261" s="300">
        <f t="shared" ref="S261" si="683">SUM(S259:S260)</f>
        <v>0.25899999999898882</v>
      </c>
      <c r="T261" s="300">
        <f t="shared" si="674"/>
        <v>3.2410000000503421</v>
      </c>
      <c r="U261" s="300"/>
      <c r="V261" s="300">
        <f>SUM(V259:V260)</f>
        <v>2.5779999999953542</v>
      </c>
      <c r="W261" s="300">
        <f t="shared" ref="W261" si="684">SUM(W259:W260)</f>
        <v>0.73499999999100774</v>
      </c>
      <c r="X261" s="300">
        <f t="shared" ref="X261" si="685">SUM(X259:X260)</f>
        <v>0.29100000000076132</v>
      </c>
      <c r="Y261" s="300">
        <f t="shared" si="675"/>
        <v>3.6039999999871233</v>
      </c>
    </row>
    <row r="262" spans="1:25" x14ac:dyDescent="0.2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x14ac:dyDescent="0.2">
      <c r="A263" s="261" t="str">
        <f>name!A40</f>
        <v>Warehousing, etc</v>
      </c>
      <c r="C263" s="263"/>
    </row>
    <row r="264" spans="1:25" x14ac:dyDescent="0.2">
      <c r="A264" s="260" t="s">
        <v>356</v>
      </c>
      <c r="B264" s="300">
        <v>1.930999999967832</v>
      </c>
      <c r="C264" s="300">
        <v>1.469999999992623</v>
      </c>
      <c r="D264" s="300">
        <v>0.64500000000987634</v>
      </c>
      <c r="E264" s="300">
        <f>SUM(B264:D264)</f>
        <v>4.0459999999703316</v>
      </c>
      <c r="F264" s="300"/>
      <c r="G264" s="300">
        <v>2.8459999999862924</v>
      </c>
      <c r="H264" s="300">
        <v>2.033000000056624</v>
      </c>
      <c r="I264" s="300">
        <v>1.139000000032427</v>
      </c>
      <c r="J264" s="300">
        <f>SUM(G264:I264)</f>
        <v>6.0180000000753431</v>
      </c>
      <c r="K264" s="300"/>
      <c r="L264" s="300">
        <v>2.7349999999896095</v>
      </c>
      <c r="M264" s="300">
        <v>2.633000000060691</v>
      </c>
      <c r="N264" s="300">
        <v>4.0999999999271279E-2</v>
      </c>
      <c r="O264" s="300">
        <f>SUM(L264:N264)</f>
        <v>5.4090000000495717</v>
      </c>
      <c r="P264" s="300"/>
      <c r="Q264" s="300">
        <v>2.9330000001300247</v>
      </c>
      <c r="R264" s="300">
        <v>2.877000000132159</v>
      </c>
      <c r="S264" s="300">
        <v>4.5000000000366108E-2</v>
      </c>
      <c r="T264" s="300">
        <f>SUM(Q264:S264)</f>
        <v>5.8550000002625495</v>
      </c>
      <c r="U264" s="300"/>
      <c r="V264" s="300">
        <v>3.0109999999686412</v>
      </c>
      <c r="W264" s="300">
        <v>3.1179999999486574</v>
      </c>
      <c r="X264" s="300">
        <v>4.5999999999566409E-2</v>
      </c>
      <c r="Y264" s="300">
        <f>SUM(V264:X264)</f>
        <v>6.1749999999168654</v>
      </c>
    </row>
    <row r="265" spans="1:25" x14ac:dyDescent="0.2">
      <c r="A265" s="260" t="s">
        <v>355</v>
      </c>
      <c r="B265" s="300">
        <v>22.770000000048288</v>
      </c>
      <c r="C265" s="300">
        <v>2.3780000000239743</v>
      </c>
      <c r="D265" s="300">
        <v>1.8070000000287092</v>
      </c>
      <c r="E265" s="300">
        <f t="shared" ref="E265:E266" si="686">SUM(B265:D265)</f>
        <v>26.95500000010097</v>
      </c>
      <c r="F265" s="300"/>
      <c r="G265" s="300">
        <v>23.262000000066664</v>
      </c>
      <c r="H265" s="300">
        <v>2.9500000000301094</v>
      </c>
      <c r="I265" s="300">
        <v>1.8580000000087844</v>
      </c>
      <c r="J265" s="300">
        <f t="shared" ref="J265:J266" si="687">SUM(G265:I265)</f>
        <v>28.070000000105555</v>
      </c>
      <c r="K265" s="300"/>
      <c r="L265" s="300">
        <v>22.58800000016566</v>
      </c>
      <c r="M265" s="300">
        <v>3.427000000038344</v>
      </c>
      <c r="N265" s="300">
        <v>2.317000000043703</v>
      </c>
      <c r="O265" s="300">
        <f t="shared" ref="O265:O266" si="688">SUM(L265:N265)</f>
        <v>28.332000000247707</v>
      </c>
      <c r="P265" s="300"/>
      <c r="Q265" s="300">
        <v>23.493000000193668</v>
      </c>
      <c r="R265" s="300">
        <v>3.5280000000335092</v>
      </c>
      <c r="S265" s="300">
        <v>2.2280000000783775</v>
      </c>
      <c r="T265" s="300">
        <f t="shared" ref="T265:T266" si="689">SUM(Q265:S265)</f>
        <v>29.249000000305553</v>
      </c>
      <c r="U265" s="300"/>
      <c r="V265" s="300">
        <v>23.209000000212914</v>
      </c>
      <c r="W265" s="300">
        <v>3.6180000000498245</v>
      </c>
      <c r="X265" s="300">
        <v>2.1550000000698279</v>
      </c>
      <c r="Y265" s="300">
        <f t="shared" ref="Y265:Y266" si="690">SUM(V265:X265)</f>
        <v>28.982000000332569</v>
      </c>
    </row>
    <row r="266" spans="1:25" x14ac:dyDescent="0.2">
      <c r="A266" s="260" t="s">
        <v>354</v>
      </c>
      <c r="B266" s="300">
        <f>SUM(B264:B265)</f>
        <v>24.701000000016119</v>
      </c>
      <c r="C266" s="300">
        <f t="shared" ref="C266" si="691">SUM(C264:C265)</f>
        <v>3.8480000000165973</v>
      </c>
      <c r="D266" s="300">
        <f t="shared" ref="D266" si="692">SUM(D264:D265)</f>
        <v>2.4520000000385855</v>
      </c>
      <c r="E266" s="300">
        <f t="shared" si="686"/>
        <v>31.001000000071301</v>
      </c>
      <c r="F266" s="300"/>
      <c r="G266" s="300">
        <f>SUM(G264:G265)</f>
        <v>26.108000000052957</v>
      </c>
      <c r="H266" s="300">
        <f t="shared" ref="H266" si="693">SUM(H264:H265)</f>
        <v>4.9830000000867329</v>
      </c>
      <c r="I266" s="300">
        <f t="shared" ref="I266" si="694">SUM(I264:I265)</f>
        <v>2.9970000000412114</v>
      </c>
      <c r="J266" s="300">
        <f t="shared" si="687"/>
        <v>34.088000000180898</v>
      </c>
      <c r="K266" s="300"/>
      <c r="L266" s="300">
        <f>SUM(L264:L265)</f>
        <v>25.323000000155268</v>
      </c>
      <c r="M266" s="300">
        <f t="shared" ref="M266" si="695">SUM(M264:M265)</f>
        <v>6.0600000000990351</v>
      </c>
      <c r="N266" s="300">
        <f t="shared" ref="N266" si="696">SUM(N264:N265)</f>
        <v>2.3580000000429742</v>
      </c>
      <c r="O266" s="300">
        <f t="shared" si="688"/>
        <v>33.741000000297277</v>
      </c>
      <c r="P266" s="300"/>
      <c r="Q266" s="300">
        <f>SUM(Q264:Q265)</f>
        <v>26.426000000323693</v>
      </c>
      <c r="R266" s="300">
        <f t="shared" ref="R266" si="697">SUM(R264:R265)</f>
        <v>6.4050000001656677</v>
      </c>
      <c r="S266" s="300">
        <f t="shared" ref="S266" si="698">SUM(S264:S265)</f>
        <v>2.2730000000787438</v>
      </c>
      <c r="T266" s="300">
        <f t="shared" si="689"/>
        <v>35.104000000568107</v>
      </c>
      <c r="U266" s="300"/>
      <c r="V266" s="300">
        <f>SUM(V264:V265)</f>
        <v>26.220000000181557</v>
      </c>
      <c r="W266" s="300">
        <f t="shared" ref="W266" si="699">SUM(W264:W265)</f>
        <v>6.7359999999984819</v>
      </c>
      <c r="X266" s="300">
        <f t="shared" ref="X266" si="700">SUM(X264:X265)</f>
        <v>2.2010000000693943</v>
      </c>
      <c r="Y266" s="300">
        <f t="shared" si="690"/>
        <v>35.157000000249433</v>
      </c>
    </row>
    <row r="267" spans="1:25" x14ac:dyDescent="0.2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x14ac:dyDescent="0.2">
      <c r="A268" s="261" t="str">
        <f>name!A41</f>
        <v>Postal and courier</v>
      </c>
      <c r="C268" s="263"/>
    </row>
    <row r="269" spans="1:25" x14ac:dyDescent="0.2">
      <c r="A269" s="260" t="s">
        <v>356</v>
      </c>
      <c r="B269" s="300">
        <v>6.1939999999069606</v>
      </c>
      <c r="C269" s="300">
        <v>4.3939999999847101</v>
      </c>
      <c r="D269" s="300">
        <v>0.54500000000243976</v>
      </c>
      <c r="E269" s="300">
        <f>SUM(B269:D269)</f>
        <v>11.13299999989411</v>
      </c>
      <c r="F269" s="300"/>
      <c r="G269" s="300">
        <v>5.8759999999855381</v>
      </c>
      <c r="H269" s="300">
        <v>4.3420000001399686</v>
      </c>
      <c r="I269" s="300">
        <v>0.68100000002035221</v>
      </c>
      <c r="J269" s="300">
        <f>SUM(G269:I269)</f>
        <v>10.899000000145859</v>
      </c>
      <c r="K269" s="300"/>
      <c r="L269" s="300">
        <v>5.647999999988512</v>
      </c>
      <c r="M269" s="300">
        <v>5.6230000001537581</v>
      </c>
      <c r="N269" s="300">
        <v>0.49599999999788441</v>
      </c>
      <c r="O269" s="300">
        <f>SUM(L269:N269)</f>
        <v>11.767000000140154</v>
      </c>
      <c r="P269" s="300"/>
      <c r="Q269" s="300">
        <v>6.0580000002306109</v>
      </c>
      <c r="R269" s="300">
        <v>6.1440000003416966</v>
      </c>
      <c r="S269" s="300">
        <v>0.45400000000806323</v>
      </c>
      <c r="T269" s="300">
        <f>SUM(Q269:S269)</f>
        <v>12.656000000580372</v>
      </c>
      <c r="U269" s="300"/>
      <c r="V269" s="300">
        <v>6.2179999999530464</v>
      </c>
      <c r="W269" s="300">
        <v>6.6589999998800806</v>
      </c>
      <c r="X269" s="300">
        <v>0.41699999999267773</v>
      </c>
      <c r="Y269" s="300">
        <f>SUM(V269:X269)</f>
        <v>13.293999999825806</v>
      </c>
    </row>
    <row r="270" spans="1:25" x14ac:dyDescent="0.2">
      <c r="A270" s="260" t="s">
        <v>355</v>
      </c>
      <c r="B270" s="300">
        <v>13.106000000063839</v>
      </c>
      <c r="C270" s="300">
        <v>3.3280000000514165</v>
      </c>
      <c r="D270" s="300">
        <v>1.4520000000047781</v>
      </c>
      <c r="E270" s="300">
        <f t="shared" ref="E270:E271" si="701">SUM(B270:D270)</f>
        <v>17.886000000120031</v>
      </c>
      <c r="F270" s="300"/>
      <c r="G270" s="300">
        <v>8.619000000050562</v>
      </c>
      <c r="H270" s="300">
        <v>2.9480000000454507</v>
      </c>
      <c r="I270" s="300">
        <v>1.0579999999934004</v>
      </c>
      <c r="J270" s="300">
        <f t="shared" ref="J270:J271" si="702">SUM(G270:I270)</f>
        <v>12.625000000089413</v>
      </c>
      <c r="K270" s="300"/>
      <c r="L270" s="300">
        <v>8.369000000117067</v>
      </c>
      <c r="M270" s="300">
        <v>3.4260000000442132</v>
      </c>
      <c r="N270" s="300">
        <v>1.3190000000218709</v>
      </c>
      <c r="O270" s="300">
        <f t="shared" ref="O270:O271" si="703">SUM(L270:N270)</f>
        <v>13.114000000183152</v>
      </c>
      <c r="P270" s="300"/>
      <c r="Q270" s="300">
        <v>8.7040000001293887</v>
      </c>
      <c r="R270" s="300">
        <v>3.526000000044037</v>
      </c>
      <c r="S270" s="300">
        <v>1.2690000000289003</v>
      </c>
      <c r="T270" s="300">
        <f t="shared" ref="T270:T271" si="704">SUM(Q270:S270)</f>
        <v>13.499000000202326</v>
      </c>
      <c r="U270" s="300"/>
      <c r="V270" s="300">
        <v>8.5990000001818974</v>
      </c>
      <c r="W270" s="300">
        <v>3.6170000000668323</v>
      </c>
      <c r="X270" s="300">
        <v>1.2270000000343519</v>
      </c>
      <c r="Y270" s="300">
        <f t="shared" ref="Y270:Y271" si="705">SUM(V270:X270)</f>
        <v>13.443000000283082</v>
      </c>
    </row>
    <row r="271" spans="1:25" x14ac:dyDescent="0.2">
      <c r="A271" s="260" t="s">
        <v>354</v>
      </c>
      <c r="B271" s="300">
        <f>SUM(B269:B270)</f>
        <v>19.299999999970801</v>
      </c>
      <c r="C271" s="300">
        <f t="shared" ref="C271" si="706">SUM(C269:C270)</f>
        <v>7.7220000000361271</v>
      </c>
      <c r="D271" s="300">
        <f t="shared" ref="D271" si="707">SUM(D269:D270)</f>
        <v>1.9970000000072179</v>
      </c>
      <c r="E271" s="300">
        <f t="shared" si="701"/>
        <v>29.019000000014145</v>
      </c>
      <c r="F271" s="300"/>
      <c r="G271" s="300">
        <f>SUM(G269:G270)</f>
        <v>14.4950000000361</v>
      </c>
      <c r="H271" s="300">
        <f t="shared" ref="H271" si="708">SUM(H269:H270)</f>
        <v>7.2900000001854188</v>
      </c>
      <c r="I271" s="300">
        <f t="shared" ref="I271" si="709">SUM(I269:I270)</f>
        <v>1.7390000000137527</v>
      </c>
      <c r="J271" s="300">
        <f t="shared" si="702"/>
        <v>23.524000000235272</v>
      </c>
      <c r="K271" s="300"/>
      <c r="L271" s="300">
        <f>SUM(L269:L270)</f>
        <v>14.017000000105579</v>
      </c>
      <c r="M271" s="300">
        <f t="shared" ref="M271" si="710">SUM(M269:M270)</f>
        <v>9.0490000001979709</v>
      </c>
      <c r="N271" s="300">
        <f t="shared" ref="N271" si="711">SUM(N269:N270)</f>
        <v>1.8150000000197553</v>
      </c>
      <c r="O271" s="300">
        <f t="shared" si="703"/>
        <v>24.881000000323304</v>
      </c>
      <c r="P271" s="300"/>
      <c r="Q271" s="300">
        <f>SUM(Q269:Q270)</f>
        <v>14.76200000036</v>
      </c>
      <c r="R271" s="300">
        <f t="shared" ref="R271" si="712">SUM(R269:R270)</f>
        <v>9.670000000385734</v>
      </c>
      <c r="S271" s="300">
        <f t="shared" ref="S271" si="713">SUM(S269:S270)</f>
        <v>1.7230000000369636</v>
      </c>
      <c r="T271" s="300">
        <f t="shared" si="704"/>
        <v>26.155000000782699</v>
      </c>
      <c r="U271" s="300"/>
      <c r="V271" s="300">
        <f>SUM(V269:V270)</f>
        <v>14.817000000134943</v>
      </c>
      <c r="W271" s="300">
        <f t="shared" ref="W271" si="714">SUM(W269:W270)</f>
        <v>10.275999999946913</v>
      </c>
      <c r="X271" s="300">
        <f t="shared" ref="X271" si="715">SUM(X269:X270)</f>
        <v>1.6440000000270296</v>
      </c>
      <c r="Y271" s="300">
        <f t="shared" si="705"/>
        <v>26.737000000108889</v>
      </c>
    </row>
    <row r="272" spans="1:25" x14ac:dyDescent="0.2">
      <c r="C272" s="263"/>
    </row>
    <row r="273" spans="1:25" x14ac:dyDescent="0.2">
      <c r="A273" s="261" t="s">
        <v>366</v>
      </c>
    </row>
    <row r="274" spans="1:25" x14ac:dyDescent="0.2">
      <c r="A274" s="260" t="s">
        <v>356</v>
      </c>
      <c r="B274" s="300">
        <f>SUM(B249,B254,B259,B264,B269)</f>
        <v>12.471999999823097</v>
      </c>
      <c r="C274" s="300">
        <f t="shared" ref="C274:D275" si="716">SUM(C249,C254,C259,C264,C269)</f>
        <v>8.6839999999524089</v>
      </c>
      <c r="D274" s="300">
        <f t="shared" si="716"/>
        <v>2.1400000000101356</v>
      </c>
      <c r="E274" s="300">
        <f>SUM(B274:D274)</f>
        <v>23.295999999785643</v>
      </c>
      <c r="F274" s="300"/>
      <c r="G274" s="300">
        <f>SUM(G249,G254,G259,G264,G269)</f>
        <v>13.853999999935748</v>
      </c>
      <c r="H274" s="300">
        <f t="shared" ref="H274:I274" si="717">SUM(H249,H254,H259,H264,H269)</f>
        <v>8.8370000002702565</v>
      </c>
      <c r="I274" s="300">
        <f t="shared" si="717"/>
        <v>3.0560000000890617</v>
      </c>
      <c r="J274" s="300">
        <f>SUM(G274:I274)</f>
        <v>25.747000000295063</v>
      </c>
      <c r="K274" s="300"/>
      <c r="L274" s="300">
        <f>SUM(L249,L254,L259,L264,L269)</f>
        <v>13.328999999948426</v>
      </c>
      <c r="M274" s="300">
        <f t="shared" ref="M274:N274" si="718">SUM(M249,M254,M259,M264,M269)</f>
        <v>11.38600000028781</v>
      </c>
      <c r="N274" s="300">
        <f t="shared" si="718"/>
        <v>1.4269999999985736</v>
      </c>
      <c r="O274" s="300">
        <f>SUM(L274:N274)</f>
        <v>26.142000000234813</v>
      </c>
      <c r="P274" s="300"/>
      <c r="Q274" s="300">
        <f>SUM(Q249,Q254,Q259,Q264,Q269)</f>
        <v>14.171000000517289</v>
      </c>
      <c r="R274" s="300">
        <f t="shared" ref="R274:S274" si="719">SUM(R249,R254,R259,R264,R269)</f>
        <v>12.377000000636595</v>
      </c>
      <c r="S274" s="300">
        <f t="shared" si="719"/>
        <v>1.4100000000261936</v>
      </c>
      <c r="T274" s="300">
        <f>SUM(Q274:S274)</f>
        <v>27.958000001180078</v>
      </c>
      <c r="U274" s="300"/>
      <c r="V274" s="300">
        <f>SUM(V249,V254,V259,V264,V269)</f>
        <v>14.673999999899298</v>
      </c>
      <c r="W274" s="300">
        <f t="shared" ref="W274:X274" si="720">SUM(W249,W254,W259,W264,W269)</f>
        <v>13.35799999976336</v>
      </c>
      <c r="X274" s="300">
        <f t="shared" si="720"/>
        <v>1.3749999999789633</v>
      </c>
      <c r="Y274" s="300">
        <f>SUM(V274:X274)</f>
        <v>29.406999999641624</v>
      </c>
    </row>
    <row r="275" spans="1:25" x14ac:dyDescent="0.2">
      <c r="A275" s="260" t="s">
        <v>355</v>
      </c>
      <c r="B275" s="300">
        <f>SUM(B250,B255,B260,B265,B270)</f>
        <v>68.554000000210834</v>
      </c>
      <c r="C275" s="300">
        <f t="shared" si="716"/>
        <v>9.0470000001228232</v>
      </c>
      <c r="D275" s="300">
        <f t="shared" si="716"/>
        <v>12.02800000007146</v>
      </c>
      <c r="E275" s="300">
        <f t="shared" ref="E275:E276" si="721">SUM(B275:D275)</f>
        <v>89.629000000405114</v>
      </c>
      <c r="F275" s="300"/>
      <c r="G275" s="300">
        <f>SUM(G250,G255,G260,G265,G270)</f>
        <v>64.726000000254942</v>
      </c>
      <c r="H275" s="300">
        <f t="shared" ref="H275:I275" si="722">SUM(H250,H255,H260,H265,H270)</f>
        <v>8.2730000001090414</v>
      </c>
      <c r="I275" s="300">
        <f t="shared" si="722"/>
        <v>12.820999999436166</v>
      </c>
      <c r="J275" s="300">
        <f t="shared" ref="J275:J276" si="723">SUM(G275:I275)</f>
        <v>85.819999999800146</v>
      </c>
      <c r="K275" s="300"/>
      <c r="L275" s="300">
        <f>SUM(L250,L255,L260,L265,L270)</f>
        <v>62.14200000064001</v>
      </c>
      <c r="M275" s="300">
        <f t="shared" ref="M275:N275" si="724">SUM(M250,M255,M260,M265,M270)</f>
        <v>9.7160000001230689</v>
      </c>
      <c r="N275" s="300">
        <f t="shared" si="724"/>
        <v>12.011000000342337</v>
      </c>
      <c r="O275" s="300">
        <f t="shared" ref="O275:O276" si="725">SUM(L275:N275)</f>
        <v>83.86900000110542</v>
      </c>
      <c r="P275" s="300"/>
      <c r="Q275" s="300">
        <f>SUM(Q250,Q255,Q260,Q265,Q270)</f>
        <v>63.28100000072844</v>
      </c>
      <c r="R275" s="300">
        <f t="shared" ref="R275:S275" si="726">SUM(R250,R255,R260,R265,R270)</f>
        <v>9.9690000001156243</v>
      </c>
      <c r="S275" s="300">
        <f t="shared" si="726"/>
        <v>12.213000000762593</v>
      </c>
      <c r="T275" s="300">
        <f t="shared" ref="T275:T276" si="727">SUM(Q275:S275)</f>
        <v>85.463000001606659</v>
      </c>
      <c r="U275" s="300"/>
      <c r="V275" s="300">
        <f>SUM(V250,V255,V260,V265,V270)</f>
        <v>61.388000000873902</v>
      </c>
      <c r="W275" s="300">
        <f t="shared" ref="W275:X275" si="728">SUM(W250,W255,W260,W265,W270)</f>
        <v>10.206000000181394</v>
      </c>
      <c r="X275" s="300">
        <f t="shared" si="728"/>
        <v>12.547000000713254</v>
      </c>
      <c r="Y275" s="300">
        <f t="shared" ref="Y275:Y276" si="729">SUM(V275:X275)</f>
        <v>84.141000001768546</v>
      </c>
    </row>
    <row r="276" spans="1:25" x14ac:dyDescent="0.2">
      <c r="A276" s="264" t="s">
        <v>354</v>
      </c>
      <c r="B276" s="301">
        <f>SUM(B274:B275)</f>
        <v>81.026000000033932</v>
      </c>
      <c r="C276" s="301">
        <f t="shared" ref="C276" si="730">SUM(C274:C275)</f>
        <v>17.731000000075234</v>
      </c>
      <c r="D276" s="301">
        <f t="shared" ref="D276" si="731">SUM(D274:D275)</f>
        <v>14.168000000081594</v>
      </c>
      <c r="E276" s="301">
        <f t="shared" si="721"/>
        <v>112.92500000019076</v>
      </c>
      <c r="F276" s="301"/>
      <c r="G276" s="301">
        <f>SUM(G274:G275)</f>
        <v>78.580000000190694</v>
      </c>
      <c r="H276" s="301">
        <f t="shared" ref="H276" si="732">SUM(H274:H275)</f>
        <v>17.110000000379298</v>
      </c>
      <c r="I276" s="301">
        <f t="shared" ref="I276" si="733">SUM(I274:I275)</f>
        <v>15.876999999525228</v>
      </c>
      <c r="J276" s="301">
        <f t="shared" si="723"/>
        <v>111.56700000009522</v>
      </c>
      <c r="K276" s="301"/>
      <c r="L276" s="301">
        <f>SUM(L274:L275)</f>
        <v>75.471000000588432</v>
      </c>
      <c r="M276" s="301">
        <f t="shared" ref="M276" si="734">SUM(M274:M275)</f>
        <v>21.102000000410879</v>
      </c>
      <c r="N276" s="301">
        <f t="shared" ref="N276" si="735">SUM(N274:N275)</f>
        <v>13.43800000034091</v>
      </c>
      <c r="O276" s="301">
        <f t="shared" si="725"/>
        <v>110.01100000134022</v>
      </c>
      <c r="P276" s="301"/>
      <c r="Q276" s="301">
        <f>SUM(Q274:Q275)</f>
        <v>77.452000001245722</v>
      </c>
      <c r="R276" s="301">
        <f t="shared" ref="R276" si="736">SUM(R274:R275)</f>
        <v>22.34600000075222</v>
      </c>
      <c r="S276" s="301">
        <f t="shared" ref="S276" si="737">SUM(S274:S275)</f>
        <v>13.623000000788787</v>
      </c>
      <c r="T276" s="301">
        <f t="shared" si="727"/>
        <v>113.42100000278673</v>
      </c>
      <c r="U276" s="301"/>
      <c r="V276" s="301">
        <f>SUM(V274:V275)</f>
        <v>76.062000000773196</v>
      </c>
      <c r="W276" s="301">
        <f t="shared" ref="W276" si="738">SUM(W274:W275)</f>
        <v>23.563999999944755</v>
      </c>
      <c r="X276" s="301">
        <f t="shared" ref="X276" si="739">SUM(X274:X275)</f>
        <v>13.922000000692217</v>
      </c>
      <c r="Y276" s="301">
        <f t="shared" si="729"/>
        <v>113.54800000141017</v>
      </c>
    </row>
    <row r="277" spans="1:25" x14ac:dyDescent="0.2">
      <c r="C277" s="263"/>
    </row>
    <row r="278" spans="1:25" x14ac:dyDescent="0.2">
      <c r="C278" s="263"/>
    </row>
    <row r="279" spans="1:25" x14ac:dyDescent="0.2">
      <c r="C279" s="263"/>
    </row>
    <row r="280" spans="1:25" ht="15" x14ac:dyDescent="0.25">
      <c r="A280" s="265" t="str">
        <f>"Industry 11 : "&amp; name!B14</f>
        <v>Industry 11 : Accommodation and food</v>
      </c>
      <c r="B280" s="371">
        <f>$B$5</f>
        <v>2015</v>
      </c>
      <c r="C280" s="371"/>
      <c r="D280" s="371"/>
      <c r="E280" s="371"/>
      <c r="F280" s="320"/>
      <c r="G280" s="371">
        <f>$G$5</f>
        <v>2019</v>
      </c>
      <c r="H280" s="371"/>
      <c r="I280" s="371"/>
      <c r="J280" s="371"/>
      <c r="K280" s="320"/>
      <c r="L280" s="371">
        <f>$L$5</f>
        <v>2020</v>
      </c>
      <c r="M280" s="371"/>
      <c r="N280" s="371"/>
      <c r="O280" s="371"/>
      <c r="P280" s="318"/>
      <c r="Q280" s="371">
        <f>$Q$5</f>
        <v>2025</v>
      </c>
      <c r="R280" s="371"/>
      <c r="S280" s="371"/>
      <c r="T280" s="371"/>
      <c r="U280" s="320"/>
      <c r="V280" s="371">
        <f>$V$5</f>
        <v>2035</v>
      </c>
      <c r="W280" s="371"/>
      <c r="X280" s="371"/>
      <c r="Y280" s="371"/>
    </row>
    <row r="281" spans="1:25" x14ac:dyDescent="0.2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x14ac:dyDescent="0.2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x14ac:dyDescent="0.2">
      <c r="A283" s="261" t="str">
        <f>name!A42</f>
        <v>Accommodation</v>
      </c>
      <c r="C283" s="263"/>
    </row>
    <row r="284" spans="1:25" x14ac:dyDescent="0.2">
      <c r="A284" s="260" t="s">
        <v>356</v>
      </c>
      <c r="B284" s="300">
        <v>15.240999999740637</v>
      </c>
      <c r="C284" s="300">
        <v>15.38400000010633</v>
      </c>
      <c r="D284" s="300">
        <v>6.5130000000819317</v>
      </c>
      <c r="E284" s="300">
        <f>SUM(B284:D284)</f>
        <v>37.137999999928901</v>
      </c>
      <c r="F284" s="300"/>
      <c r="G284" s="300">
        <v>18.44500000006202</v>
      </c>
      <c r="H284" s="300">
        <v>17.651000000697515</v>
      </c>
      <c r="I284" s="300">
        <v>5.7840000001942791</v>
      </c>
      <c r="J284" s="300">
        <f>SUM(G284:I284)</f>
        <v>41.880000000953814</v>
      </c>
      <c r="K284" s="300"/>
      <c r="L284" s="300">
        <v>13.114000000029526</v>
      </c>
      <c r="M284" s="300">
        <v>18.669000000706543</v>
      </c>
      <c r="N284" s="300">
        <v>7.6009999998994315</v>
      </c>
      <c r="O284" s="300">
        <f>SUM(L284:N284)</f>
        <v>39.384000000635496</v>
      </c>
      <c r="P284" s="300"/>
      <c r="Q284" s="300">
        <v>15.20300000063331</v>
      </c>
      <c r="R284" s="300">
        <v>22.392000001627206</v>
      </c>
      <c r="S284" s="300">
        <v>8.9870000001559571</v>
      </c>
      <c r="T284" s="300">
        <f>SUM(Q284:S284)</f>
        <v>46.582000002416478</v>
      </c>
      <c r="U284" s="300"/>
      <c r="V284" s="300">
        <v>15.94599999988335</v>
      </c>
      <c r="W284" s="300">
        <v>24.944999999642057</v>
      </c>
      <c r="X284" s="300">
        <v>9.7549999999089714</v>
      </c>
      <c r="Y284" s="300">
        <f>SUM(V284:X284)</f>
        <v>50.64599999943438</v>
      </c>
    </row>
    <row r="285" spans="1:25" x14ac:dyDescent="0.2">
      <c r="A285" s="260" t="s">
        <v>355</v>
      </c>
      <c r="B285" s="300">
        <v>17.777999999987323</v>
      </c>
      <c r="C285" s="300">
        <v>6.6240000001042239</v>
      </c>
      <c r="D285" s="300">
        <v>3.1730000000542153</v>
      </c>
      <c r="E285" s="300">
        <f t="shared" ref="E285:E286" si="740">SUM(B285:D285)</f>
        <v>27.575000000145764</v>
      </c>
      <c r="F285" s="300"/>
      <c r="G285" s="300">
        <v>21.141999999993004</v>
      </c>
      <c r="H285" s="300">
        <v>7.2920000001141636</v>
      </c>
      <c r="I285" s="300">
        <v>3.5030000000234143</v>
      </c>
      <c r="J285" s="300">
        <f t="shared" ref="J285:J286" si="741">SUM(G285:I285)</f>
        <v>31.937000000130581</v>
      </c>
      <c r="K285" s="300"/>
      <c r="L285" s="300">
        <v>16.754000000009924</v>
      </c>
      <c r="M285" s="300">
        <v>9.5090000000544439</v>
      </c>
      <c r="N285" s="300">
        <v>2.9660000000374609</v>
      </c>
      <c r="O285" s="300">
        <f t="shared" ref="O285:O286" si="742">SUM(L285:N285)</f>
        <v>29.229000000101827</v>
      </c>
      <c r="P285" s="300"/>
      <c r="Q285" s="300">
        <v>19.321000000037465</v>
      </c>
      <c r="R285" s="300">
        <v>11.200000000074292</v>
      </c>
      <c r="S285" s="300">
        <v>3.5110000000786563</v>
      </c>
      <c r="T285" s="300">
        <f t="shared" ref="T285:T286" si="743">SUM(Q285:S285)</f>
        <v>34.032000000190408</v>
      </c>
      <c r="U285" s="300"/>
      <c r="V285" s="300">
        <v>20.130999999946436</v>
      </c>
      <c r="W285" s="300">
        <v>11.983000000029024</v>
      </c>
      <c r="X285" s="300">
        <v>3.8050000000389033</v>
      </c>
      <c r="Y285" s="300">
        <f t="shared" ref="Y285:Y286" si="744">SUM(V285:X285)</f>
        <v>35.919000000014364</v>
      </c>
    </row>
    <row r="286" spans="1:25" x14ac:dyDescent="0.2">
      <c r="A286" s="260" t="s">
        <v>354</v>
      </c>
      <c r="B286" s="300">
        <f>SUM(B284:B285)</f>
        <v>33.01899999972796</v>
      </c>
      <c r="C286" s="300">
        <f t="shared" ref="C286" si="745">SUM(C284:C285)</f>
        <v>22.008000000210554</v>
      </c>
      <c r="D286" s="300">
        <f t="shared" ref="D286" si="746">SUM(D284:D285)</f>
        <v>9.686000000136147</v>
      </c>
      <c r="E286" s="300">
        <f t="shared" si="740"/>
        <v>64.713000000074658</v>
      </c>
      <c r="F286" s="300"/>
      <c r="G286" s="300">
        <f>SUM(G284:G285)</f>
        <v>39.587000000055028</v>
      </c>
      <c r="H286" s="300">
        <f t="shared" ref="H286" si="747">SUM(H284:H285)</f>
        <v>24.943000000811679</v>
      </c>
      <c r="I286" s="300">
        <f t="shared" ref="I286" si="748">SUM(I284:I285)</f>
        <v>9.2870000002176933</v>
      </c>
      <c r="J286" s="300">
        <f t="shared" si="741"/>
        <v>73.817000001084395</v>
      </c>
      <c r="K286" s="300"/>
      <c r="L286" s="300">
        <f>SUM(L284:L285)</f>
        <v>29.868000000039451</v>
      </c>
      <c r="M286" s="300">
        <f t="shared" ref="M286" si="749">SUM(M284:M285)</f>
        <v>28.178000000760989</v>
      </c>
      <c r="N286" s="300">
        <f t="shared" ref="N286" si="750">SUM(N284:N285)</f>
        <v>10.566999999936893</v>
      </c>
      <c r="O286" s="300">
        <f t="shared" si="742"/>
        <v>68.61300000073733</v>
      </c>
      <c r="P286" s="300"/>
      <c r="Q286" s="300">
        <f>SUM(Q284:Q285)</f>
        <v>34.524000000670775</v>
      </c>
      <c r="R286" s="300">
        <f t="shared" ref="R286" si="751">SUM(R284:R285)</f>
        <v>33.5920000017015</v>
      </c>
      <c r="S286" s="300">
        <f t="shared" ref="S286" si="752">SUM(S284:S285)</f>
        <v>12.498000000234613</v>
      </c>
      <c r="T286" s="300">
        <f t="shared" si="743"/>
        <v>80.614000002606886</v>
      </c>
      <c r="U286" s="300"/>
      <c r="V286" s="300">
        <f>SUM(V284:V285)</f>
        <v>36.076999999829788</v>
      </c>
      <c r="W286" s="300">
        <f t="shared" ref="W286" si="753">SUM(W284:W285)</f>
        <v>36.92799999967108</v>
      </c>
      <c r="X286" s="300">
        <f t="shared" ref="X286" si="754">SUM(X284:X285)</f>
        <v>13.559999999947875</v>
      </c>
      <c r="Y286" s="300">
        <f t="shared" si="744"/>
        <v>86.564999999448744</v>
      </c>
    </row>
    <row r="287" spans="1:25" x14ac:dyDescent="0.2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x14ac:dyDescent="0.2">
      <c r="A288" s="261" t="str">
        <f>name!A43</f>
        <v>Food and beverage services</v>
      </c>
      <c r="C288" s="263"/>
    </row>
    <row r="289" spans="1:25" x14ac:dyDescent="0.2">
      <c r="A289" s="260" t="s">
        <v>356</v>
      </c>
      <c r="B289" s="300">
        <v>25.154999999571945</v>
      </c>
      <c r="C289" s="300">
        <v>45.672000000315677</v>
      </c>
      <c r="D289" s="300">
        <v>8.9010000001119796</v>
      </c>
      <c r="E289" s="300">
        <f>SUM(B289:D289)</f>
        <v>79.727999999999597</v>
      </c>
      <c r="F289" s="300"/>
      <c r="G289" s="300">
        <v>32.490000000109291</v>
      </c>
      <c r="H289" s="300">
        <v>59.72500000236014</v>
      </c>
      <c r="I289" s="300">
        <v>7.357000000247111</v>
      </c>
      <c r="J289" s="300">
        <f>SUM(G289:I289)</f>
        <v>99.572000002716536</v>
      </c>
      <c r="K289" s="300"/>
      <c r="L289" s="300">
        <v>25.600000000057616</v>
      </c>
      <c r="M289" s="300">
        <v>60.473000002288629</v>
      </c>
      <c r="N289" s="300">
        <v>10.67699999985874</v>
      </c>
      <c r="O289" s="300">
        <f>SUM(L289:N289)</f>
        <v>96.750000002204985</v>
      </c>
      <c r="P289" s="300"/>
      <c r="Q289" s="300">
        <v>26.651000001110191</v>
      </c>
      <c r="R289" s="300">
        <v>62.233000004522395</v>
      </c>
      <c r="S289" s="300">
        <v>11.164000000193733</v>
      </c>
      <c r="T289" s="300">
        <f>SUM(Q289:S289)</f>
        <v>100.04800000582632</v>
      </c>
      <c r="U289" s="300"/>
      <c r="V289" s="300">
        <v>31.320999999770894</v>
      </c>
      <c r="W289" s="300">
        <v>71.125999998979353</v>
      </c>
      <c r="X289" s="300">
        <v>13.117999999877602</v>
      </c>
      <c r="Y289" s="300">
        <f>SUM(V289:X289)</f>
        <v>115.56499999862784</v>
      </c>
    </row>
    <row r="290" spans="1:25" x14ac:dyDescent="0.2">
      <c r="A290" s="260" t="s">
        <v>355</v>
      </c>
      <c r="B290" s="300">
        <v>34.560999999975387</v>
      </c>
      <c r="C290" s="300">
        <v>30.030000000472494</v>
      </c>
      <c r="D290" s="300">
        <v>7.6100000001300314</v>
      </c>
      <c r="E290" s="300">
        <f t="shared" ref="E290:E291" si="755">SUM(B290:D290)</f>
        <v>72.201000000577906</v>
      </c>
      <c r="F290" s="300"/>
      <c r="G290" s="300">
        <v>43.225999999985682</v>
      </c>
      <c r="H290" s="300">
        <v>35.630000000557821</v>
      </c>
      <c r="I290" s="300">
        <v>8.2530000000551631</v>
      </c>
      <c r="J290" s="300">
        <f t="shared" ref="J290:J291" si="756">SUM(G290:I290)</f>
        <v>87.10900000059867</v>
      </c>
      <c r="K290" s="300"/>
      <c r="L290" s="300">
        <v>35.967000000021265</v>
      </c>
      <c r="M290" s="300">
        <v>45.02600000025781</v>
      </c>
      <c r="N290" s="300">
        <v>4.9710000000627783</v>
      </c>
      <c r="O290" s="300">
        <f t="shared" ref="O290:O291" si="757">SUM(L290:N290)</f>
        <v>85.964000000341841</v>
      </c>
      <c r="P290" s="300"/>
      <c r="Q290" s="300">
        <v>37.644000000072957</v>
      </c>
      <c r="R290" s="300">
        <v>46.433000000307992</v>
      </c>
      <c r="S290" s="300">
        <v>5.1820000001160889</v>
      </c>
      <c r="T290" s="300">
        <f t="shared" ref="T290:T291" si="758">SUM(Q290:S290)</f>
        <v>89.259000000497039</v>
      </c>
      <c r="U290" s="300"/>
      <c r="V290" s="300">
        <v>44.732999999880995</v>
      </c>
      <c r="W290" s="300">
        <v>53.455000000129488</v>
      </c>
      <c r="X290" s="300">
        <v>6.0830000000621842</v>
      </c>
      <c r="Y290" s="300">
        <f t="shared" ref="Y290:Y291" si="759">SUM(V290:X290)</f>
        <v>104.27100000007266</v>
      </c>
    </row>
    <row r="291" spans="1:25" x14ac:dyDescent="0.2">
      <c r="A291" s="260" t="s">
        <v>354</v>
      </c>
      <c r="B291" s="300">
        <f>SUM(B289:B290)</f>
        <v>59.715999999547336</v>
      </c>
      <c r="C291" s="300">
        <f t="shared" ref="C291" si="760">SUM(C289:C290)</f>
        <v>75.702000000788175</v>
      </c>
      <c r="D291" s="300">
        <f t="shared" ref="D291" si="761">SUM(D289:D290)</f>
        <v>16.51100000024201</v>
      </c>
      <c r="E291" s="300">
        <f t="shared" si="755"/>
        <v>151.9290000005775</v>
      </c>
      <c r="F291" s="300"/>
      <c r="G291" s="300">
        <f>SUM(G289:G290)</f>
        <v>75.716000000094965</v>
      </c>
      <c r="H291" s="300">
        <f t="shared" ref="H291" si="762">SUM(H289:H290)</f>
        <v>95.355000002917961</v>
      </c>
      <c r="I291" s="300">
        <f t="shared" ref="I291" si="763">SUM(I289:I290)</f>
        <v>15.610000000302275</v>
      </c>
      <c r="J291" s="300">
        <f t="shared" si="756"/>
        <v>186.68100000331521</v>
      </c>
      <c r="K291" s="300"/>
      <c r="L291" s="300">
        <f>SUM(L289:L290)</f>
        <v>61.567000000078878</v>
      </c>
      <c r="M291" s="300">
        <f t="shared" ref="M291" si="764">SUM(M289:M290)</f>
        <v>105.49900000254644</v>
      </c>
      <c r="N291" s="300">
        <f t="shared" ref="N291" si="765">SUM(N289:N290)</f>
        <v>15.647999999921518</v>
      </c>
      <c r="O291" s="300">
        <f t="shared" si="757"/>
        <v>182.71400000254684</v>
      </c>
      <c r="P291" s="300"/>
      <c r="Q291" s="300">
        <f>SUM(Q289:Q290)</f>
        <v>64.295000001183155</v>
      </c>
      <c r="R291" s="300">
        <f t="shared" ref="R291" si="766">SUM(R289:R290)</f>
        <v>108.66600000483038</v>
      </c>
      <c r="S291" s="300">
        <f t="shared" ref="S291" si="767">SUM(S289:S290)</f>
        <v>16.346000000309822</v>
      </c>
      <c r="T291" s="300">
        <f t="shared" si="758"/>
        <v>189.30700000632336</v>
      </c>
      <c r="U291" s="300"/>
      <c r="V291" s="300">
        <f>SUM(V289:V290)</f>
        <v>76.053999999651893</v>
      </c>
      <c r="W291" s="300">
        <f t="shared" ref="W291" si="768">SUM(W289:W290)</f>
        <v>124.58099999910884</v>
      </c>
      <c r="X291" s="300">
        <f t="shared" ref="X291" si="769">SUM(X289:X290)</f>
        <v>19.200999999939786</v>
      </c>
      <c r="Y291" s="300">
        <f t="shared" si="759"/>
        <v>219.83599999870054</v>
      </c>
    </row>
    <row r="292" spans="1:25" x14ac:dyDescent="0.2">
      <c r="C292" s="263"/>
    </row>
    <row r="293" spans="1:25" x14ac:dyDescent="0.2">
      <c r="A293" s="261" t="s">
        <v>365</v>
      </c>
    </row>
    <row r="294" spans="1:25" x14ac:dyDescent="0.2">
      <c r="A294" s="260" t="s">
        <v>356</v>
      </c>
      <c r="B294" s="300">
        <f>SUM(B284,B289)</f>
        <v>40.395999999312579</v>
      </c>
      <c r="C294" s="300">
        <f t="shared" ref="C294:D295" si="770">SUM(C284,C289)</f>
        <v>61.056000000422003</v>
      </c>
      <c r="D294" s="300">
        <f t="shared" si="770"/>
        <v>15.414000000193912</v>
      </c>
      <c r="E294" s="300">
        <f>SUM(B294:D294)</f>
        <v>116.86599999992849</v>
      </c>
      <c r="F294" s="300"/>
      <c r="G294" s="300">
        <f>SUM(G284,G289)</f>
        <v>50.935000000171314</v>
      </c>
      <c r="H294" s="300">
        <f t="shared" ref="H294:I294" si="771">SUM(H284,H289)</f>
        <v>77.376000003057655</v>
      </c>
      <c r="I294" s="300">
        <f t="shared" si="771"/>
        <v>13.141000000441391</v>
      </c>
      <c r="J294" s="300">
        <f>SUM(G294:I294)</f>
        <v>141.45200000367035</v>
      </c>
      <c r="K294" s="300"/>
      <c r="L294" s="300">
        <f>SUM(L284,L289)</f>
        <v>38.71400000008714</v>
      </c>
      <c r="M294" s="300">
        <f t="shared" ref="M294:N294" si="772">SUM(M284,M289)</f>
        <v>79.142000002995175</v>
      </c>
      <c r="N294" s="300">
        <f t="shared" si="772"/>
        <v>18.277999999758173</v>
      </c>
      <c r="O294" s="300">
        <f>SUM(L294:N294)</f>
        <v>136.13400000284048</v>
      </c>
      <c r="P294" s="300"/>
      <c r="Q294" s="300">
        <f>SUM(Q284,Q289)</f>
        <v>41.854000001743501</v>
      </c>
      <c r="R294" s="300">
        <f t="shared" ref="R294:S294" si="773">SUM(R284,R289)</f>
        <v>84.625000006149605</v>
      </c>
      <c r="S294" s="300">
        <f t="shared" si="773"/>
        <v>20.15100000034969</v>
      </c>
      <c r="T294" s="300">
        <f>SUM(Q294:S294)</f>
        <v>146.6300000082428</v>
      </c>
      <c r="U294" s="300"/>
      <c r="V294" s="300">
        <f>SUM(V284,V289)</f>
        <v>47.266999999654246</v>
      </c>
      <c r="W294" s="300">
        <f t="shared" ref="W294:X294" si="774">SUM(W284,W289)</f>
        <v>96.070999998621403</v>
      </c>
      <c r="X294" s="300">
        <f t="shared" si="774"/>
        <v>22.872999999786572</v>
      </c>
      <c r="Y294" s="300">
        <f>SUM(V294:X294)</f>
        <v>166.21099999806222</v>
      </c>
    </row>
    <row r="295" spans="1:25" x14ac:dyDescent="0.2">
      <c r="A295" s="260" t="s">
        <v>355</v>
      </c>
      <c r="B295" s="300">
        <f>SUM(B285,B290)</f>
        <v>52.338999999962709</v>
      </c>
      <c r="C295" s="300">
        <f t="shared" si="770"/>
        <v>36.654000000576715</v>
      </c>
      <c r="D295" s="300">
        <f t="shared" si="770"/>
        <v>10.783000000184247</v>
      </c>
      <c r="E295" s="300">
        <f t="shared" ref="E295:E296" si="775">SUM(B295:D295)</f>
        <v>99.77600000072367</v>
      </c>
      <c r="F295" s="300"/>
      <c r="G295" s="300">
        <f>SUM(G285,G290)</f>
        <v>64.367999999978679</v>
      </c>
      <c r="H295" s="300">
        <f t="shared" ref="H295:I295" si="776">SUM(H285,H290)</f>
        <v>42.922000000671986</v>
      </c>
      <c r="I295" s="300">
        <f t="shared" si="776"/>
        <v>11.756000000078577</v>
      </c>
      <c r="J295" s="300">
        <f t="shared" ref="J295:J296" si="777">SUM(G295:I295)</f>
        <v>119.04600000072924</v>
      </c>
      <c r="K295" s="300"/>
      <c r="L295" s="300">
        <f>SUM(L285,L290)</f>
        <v>52.721000000031189</v>
      </c>
      <c r="M295" s="300">
        <f t="shared" ref="M295:N295" si="778">SUM(M285,M290)</f>
        <v>54.535000000312252</v>
      </c>
      <c r="N295" s="300">
        <f t="shared" si="778"/>
        <v>7.9370000001002392</v>
      </c>
      <c r="O295" s="300">
        <f t="shared" ref="O295:O296" si="779">SUM(L295:N295)</f>
        <v>115.19300000044369</v>
      </c>
      <c r="P295" s="300"/>
      <c r="Q295" s="300">
        <f>SUM(Q285,Q290)</f>
        <v>56.965000000110422</v>
      </c>
      <c r="R295" s="300">
        <f t="shared" ref="R295:S295" si="780">SUM(R285,R290)</f>
        <v>57.633000000382282</v>
      </c>
      <c r="S295" s="300">
        <f t="shared" si="780"/>
        <v>8.6930000001947452</v>
      </c>
      <c r="T295" s="300">
        <f t="shared" ref="T295:T296" si="781">SUM(Q295:S295)</f>
        <v>123.29100000068745</v>
      </c>
      <c r="U295" s="300"/>
      <c r="V295" s="300">
        <f>SUM(V285,V290)</f>
        <v>64.863999999827428</v>
      </c>
      <c r="W295" s="300">
        <f t="shared" ref="W295:X295" si="782">SUM(W285,W290)</f>
        <v>65.43800000015851</v>
      </c>
      <c r="X295" s="300">
        <f t="shared" si="782"/>
        <v>9.888000000101087</v>
      </c>
      <c r="Y295" s="300">
        <f t="shared" ref="Y295:Y296" si="783">SUM(V295:X295)</f>
        <v>140.19000000008703</v>
      </c>
    </row>
    <row r="296" spans="1:25" x14ac:dyDescent="0.2">
      <c r="A296" s="264" t="s">
        <v>354</v>
      </c>
      <c r="B296" s="301">
        <f>SUM(B294:B295)</f>
        <v>92.734999999275288</v>
      </c>
      <c r="C296" s="301">
        <f t="shared" ref="C296" si="784">SUM(C294:C295)</f>
        <v>97.710000000998718</v>
      </c>
      <c r="D296" s="301">
        <f t="shared" ref="D296" si="785">SUM(D294:D295)</f>
        <v>26.197000000378161</v>
      </c>
      <c r="E296" s="301">
        <f t="shared" si="775"/>
        <v>216.64200000065216</v>
      </c>
      <c r="F296" s="301"/>
      <c r="G296" s="301">
        <f>SUM(G294:G295)</f>
        <v>115.30300000014999</v>
      </c>
      <c r="H296" s="301">
        <f t="shared" ref="H296" si="786">SUM(H294:H295)</f>
        <v>120.29800000372964</v>
      </c>
      <c r="I296" s="301">
        <f t="shared" ref="I296" si="787">SUM(I294:I295)</f>
        <v>24.897000000519967</v>
      </c>
      <c r="J296" s="301">
        <f t="shared" si="777"/>
        <v>260.49800000439961</v>
      </c>
      <c r="K296" s="301"/>
      <c r="L296" s="301">
        <f>SUM(L294:L295)</f>
        <v>91.435000000118322</v>
      </c>
      <c r="M296" s="301">
        <f t="shared" ref="M296" si="788">SUM(M294:M295)</f>
        <v>133.67700000330743</v>
      </c>
      <c r="N296" s="301">
        <f t="shared" ref="N296" si="789">SUM(N294:N295)</f>
        <v>26.214999999858414</v>
      </c>
      <c r="O296" s="301">
        <f t="shared" si="779"/>
        <v>251.32700000328416</v>
      </c>
      <c r="P296" s="301"/>
      <c r="Q296" s="301">
        <f>SUM(Q294:Q295)</f>
        <v>98.819000001853922</v>
      </c>
      <c r="R296" s="301">
        <f t="shared" ref="R296" si="790">SUM(R294:R295)</f>
        <v>142.25800000653189</v>
      </c>
      <c r="S296" s="301">
        <f t="shared" ref="S296" si="791">SUM(S294:S295)</f>
        <v>28.844000000544433</v>
      </c>
      <c r="T296" s="301">
        <f t="shared" si="781"/>
        <v>269.92100000893026</v>
      </c>
      <c r="U296" s="301"/>
      <c r="V296" s="301">
        <f>SUM(V294:V295)</f>
        <v>112.13099999948167</v>
      </c>
      <c r="W296" s="301">
        <f t="shared" ref="W296" si="792">SUM(W294:W295)</f>
        <v>161.50899999877993</v>
      </c>
      <c r="X296" s="301">
        <f t="shared" ref="X296" si="793">SUM(X294:X295)</f>
        <v>32.760999999887659</v>
      </c>
      <c r="Y296" s="301">
        <f t="shared" si="783"/>
        <v>306.40099999814925</v>
      </c>
    </row>
    <row r="297" spans="1:25" x14ac:dyDescent="0.2">
      <c r="C297" s="263"/>
    </row>
    <row r="298" spans="1:25" x14ac:dyDescent="0.2">
      <c r="C298" s="263"/>
    </row>
    <row r="299" spans="1:25" x14ac:dyDescent="0.2">
      <c r="C299" s="263"/>
    </row>
    <row r="300" spans="1:25" ht="15" x14ac:dyDescent="0.25">
      <c r="A300" s="265" t="str">
        <f>"Industry 12 : "&amp; name!B15</f>
        <v>Industry 12 : Media</v>
      </c>
      <c r="B300" s="371">
        <f>$B$5</f>
        <v>2015</v>
      </c>
      <c r="C300" s="371"/>
      <c r="D300" s="371"/>
      <c r="E300" s="371"/>
      <c r="F300" s="320"/>
      <c r="G300" s="371">
        <f>$G$5</f>
        <v>2019</v>
      </c>
      <c r="H300" s="371"/>
      <c r="I300" s="371"/>
      <c r="J300" s="371"/>
      <c r="K300" s="320"/>
      <c r="L300" s="371">
        <f>$L$5</f>
        <v>2020</v>
      </c>
      <c r="M300" s="371"/>
      <c r="N300" s="371"/>
      <c r="O300" s="371"/>
      <c r="P300" s="318"/>
      <c r="Q300" s="371">
        <f>$Q$5</f>
        <v>2025</v>
      </c>
      <c r="R300" s="371"/>
      <c r="S300" s="371"/>
      <c r="T300" s="371"/>
      <c r="U300" s="320"/>
      <c r="V300" s="371">
        <f>$V$5</f>
        <v>2035</v>
      </c>
      <c r="W300" s="371"/>
      <c r="X300" s="371"/>
      <c r="Y300" s="371"/>
    </row>
    <row r="301" spans="1:25" x14ac:dyDescent="0.2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x14ac:dyDescent="0.2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x14ac:dyDescent="0.2">
      <c r="A303" s="261" t="str">
        <f>name!A44</f>
        <v>Publishing activities</v>
      </c>
      <c r="C303" s="263"/>
    </row>
    <row r="304" spans="1:25" x14ac:dyDescent="0.2">
      <c r="A304" s="260" t="s">
        <v>356</v>
      </c>
      <c r="B304" s="300">
        <v>1.1779999999980399</v>
      </c>
      <c r="C304" s="300">
        <v>0.24399999999892888</v>
      </c>
      <c r="D304" s="300">
        <v>1.1400000000385251</v>
      </c>
      <c r="E304" s="300">
        <f>SUM(B304:D304)</f>
        <v>2.5620000000354937</v>
      </c>
      <c r="F304" s="300"/>
      <c r="G304" s="300">
        <v>1.6219999999685268</v>
      </c>
      <c r="H304" s="300">
        <v>0.89100000000281776</v>
      </c>
      <c r="I304" s="300">
        <v>1.8359999999844445</v>
      </c>
      <c r="J304" s="300">
        <f>SUM(G304:I304)</f>
        <v>4.3489999999557893</v>
      </c>
      <c r="K304" s="300"/>
      <c r="L304" s="300">
        <v>1.2889999999826236</v>
      </c>
      <c r="M304" s="300">
        <v>0.68000000000011107</v>
      </c>
      <c r="N304" s="300">
        <v>2.0989999999194371</v>
      </c>
      <c r="O304" s="300">
        <f>SUM(L304:N304)</f>
        <v>4.0679999999021721</v>
      </c>
      <c r="P304" s="300"/>
      <c r="Q304" s="300">
        <v>1.241000000012551</v>
      </c>
      <c r="R304" s="300">
        <v>0.66400000000154846</v>
      </c>
      <c r="S304" s="300">
        <v>1.9919999999269615</v>
      </c>
      <c r="T304" s="300">
        <f>SUM(Q304:S304)</f>
        <v>3.8969999999410607</v>
      </c>
      <c r="U304" s="300"/>
      <c r="V304" s="300">
        <v>1.2180000000037299</v>
      </c>
      <c r="W304" s="300">
        <v>0.6479999999966648</v>
      </c>
      <c r="X304" s="300">
        <v>1.8400000000315764</v>
      </c>
      <c r="Y304" s="300">
        <f>SUM(V304:X304)</f>
        <v>3.7060000000319713</v>
      </c>
    </row>
    <row r="305" spans="1:25" x14ac:dyDescent="0.2">
      <c r="A305" s="260" t="s">
        <v>355</v>
      </c>
      <c r="B305" s="300">
        <v>3.2759999999785507</v>
      </c>
      <c r="C305" s="300">
        <v>0.64700000000041924</v>
      </c>
      <c r="D305" s="300">
        <v>1.7280000000232727</v>
      </c>
      <c r="E305" s="300">
        <f t="shared" ref="E305:E306" si="794">SUM(B305:D305)</f>
        <v>5.6510000000022425</v>
      </c>
      <c r="F305" s="300"/>
      <c r="G305" s="300">
        <v>4.2209999999747394</v>
      </c>
      <c r="H305" s="300">
        <v>0.47099999999936726</v>
      </c>
      <c r="I305" s="300">
        <v>2.52500000000372</v>
      </c>
      <c r="J305" s="300">
        <f t="shared" ref="J305:J306" si="795">SUM(G305:I305)</f>
        <v>7.2169999999778263</v>
      </c>
      <c r="K305" s="300"/>
      <c r="L305" s="300">
        <v>4.2989999999503361</v>
      </c>
      <c r="M305" s="300">
        <v>1.705999999997917</v>
      </c>
      <c r="N305" s="300">
        <v>1.1060000000041501</v>
      </c>
      <c r="O305" s="300">
        <f t="shared" ref="O305:O306" si="796">SUM(L305:N305)</f>
        <v>7.1109999999524032</v>
      </c>
      <c r="P305" s="300"/>
      <c r="Q305" s="300">
        <v>4.1219999999710613</v>
      </c>
      <c r="R305" s="300">
        <v>1.7239999999961906</v>
      </c>
      <c r="S305" s="300">
        <v>1.0730000000268507</v>
      </c>
      <c r="T305" s="300">
        <f t="shared" ref="T305:T306" si="797">SUM(Q305:S305)</f>
        <v>6.918999999994103</v>
      </c>
      <c r="U305" s="300"/>
      <c r="V305" s="300">
        <v>3.9669999999439001</v>
      </c>
      <c r="W305" s="300">
        <v>1.787999999988936</v>
      </c>
      <c r="X305" s="300">
        <v>1.0540000000206551</v>
      </c>
      <c r="Y305" s="300">
        <f t="shared" ref="Y305:Y306" si="798">SUM(V305:X305)</f>
        <v>6.8089999999534907</v>
      </c>
    </row>
    <row r="306" spans="1:25" x14ac:dyDescent="0.2">
      <c r="A306" s="260" t="s">
        <v>354</v>
      </c>
      <c r="B306" s="300">
        <f>SUM(B304:B305)</f>
        <v>4.4539999999765909</v>
      </c>
      <c r="C306" s="300">
        <f t="shared" ref="C306" si="799">SUM(C304:C305)</f>
        <v>0.89099999999934809</v>
      </c>
      <c r="D306" s="300">
        <f t="shared" ref="D306" si="800">SUM(D304:D305)</f>
        <v>2.868000000061798</v>
      </c>
      <c r="E306" s="300">
        <f t="shared" si="794"/>
        <v>8.2130000000377379</v>
      </c>
      <c r="F306" s="300"/>
      <c r="G306" s="300">
        <f>SUM(G304:G305)</f>
        <v>5.8429999999432667</v>
      </c>
      <c r="H306" s="300">
        <f t="shared" ref="H306" si="801">SUM(H304:H305)</f>
        <v>1.362000000002185</v>
      </c>
      <c r="I306" s="300">
        <f t="shared" ref="I306" si="802">SUM(I304:I305)</f>
        <v>4.3609999999881648</v>
      </c>
      <c r="J306" s="300">
        <f t="shared" si="795"/>
        <v>11.565999999933616</v>
      </c>
      <c r="K306" s="300"/>
      <c r="L306" s="300">
        <f>SUM(L304:L305)</f>
        <v>5.5879999999329595</v>
      </c>
      <c r="M306" s="300">
        <f t="shared" ref="M306" si="803">SUM(M304:M305)</f>
        <v>2.3859999999980279</v>
      </c>
      <c r="N306" s="300">
        <f t="shared" ref="N306" si="804">SUM(N304:N305)</f>
        <v>3.2049999999235874</v>
      </c>
      <c r="O306" s="300">
        <f t="shared" si="796"/>
        <v>11.178999999854575</v>
      </c>
      <c r="P306" s="300"/>
      <c r="Q306" s="300">
        <f>SUM(Q304:Q305)</f>
        <v>5.3629999999836127</v>
      </c>
      <c r="R306" s="300">
        <f t="shared" ref="R306" si="805">SUM(R304:R305)</f>
        <v>2.387999999997739</v>
      </c>
      <c r="S306" s="300">
        <f t="shared" ref="S306" si="806">SUM(S304:S305)</f>
        <v>3.0649999999538124</v>
      </c>
      <c r="T306" s="300">
        <f t="shared" si="797"/>
        <v>10.815999999935164</v>
      </c>
      <c r="U306" s="300"/>
      <c r="V306" s="300">
        <f>SUM(V304:V305)</f>
        <v>5.1849999999476299</v>
      </c>
      <c r="W306" s="300">
        <f t="shared" ref="W306" si="807">SUM(W304:W305)</f>
        <v>2.4359999999856008</v>
      </c>
      <c r="X306" s="300">
        <f t="shared" ref="X306" si="808">SUM(X304:X305)</f>
        <v>2.8940000000522312</v>
      </c>
      <c r="Y306" s="300">
        <f t="shared" si="798"/>
        <v>10.514999999985463</v>
      </c>
    </row>
    <row r="307" spans="1:25" x14ac:dyDescent="0.2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x14ac:dyDescent="0.2">
      <c r="A308" s="261" t="str">
        <f>name!A45</f>
        <v>Film and music</v>
      </c>
      <c r="C308" s="263"/>
    </row>
    <row r="309" spans="1:25" x14ac:dyDescent="0.2">
      <c r="A309" s="260" t="s">
        <v>356</v>
      </c>
      <c r="B309" s="300">
        <v>2.1880000000034889</v>
      </c>
      <c r="C309" s="300">
        <v>1.2849999999952515</v>
      </c>
      <c r="D309" s="300">
        <v>0.68800000002274853</v>
      </c>
      <c r="E309" s="300">
        <f>SUM(B309:D309)</f>
        <v>4.1610000000214891</v>
      </c>
      <c r="F309" s="300"/>
      <c r="G309" s="300">
        <v>4.0919999999452559</v>
      </c>
      <c r="H309" s="300">
        <v>1.6660000000121564</v>
      </c>
      <c r="I309" s="300">
        <v>0.60299999999467546</v>
      </c>
      <c r="J309" s="300">
        <f>SUM(G309:I309)</f>
        <v>6.3609999999520879</v>
      </c>
      <c r="K309" s="300"/>
      <c r="L309" s="300">
        <v>3.2519999999708658</v>
      </c>
      <c r="M309" s="300">
        <v>1.2710000000057673</v>
      </c>
      <c r="N309" s="300">
        <v>0.74499999997337973</v>
      </c>
      <c r="O309" s="300">
        <f>SUM(L309:N309)</f>
        <v>5.2679999999500131</v>
      </c>
      <c r="P309" s="300"/>
      <c r="Q309" s="300">
        <v>3.1309999999844638</v>
      </c>
      <c r="R309" s="300">
        <v>1.2420000000095146</v>
      </c>
      <c r="S309" s="300">
        <v>0.72499999997587938</v>
      </c>
      <c r="T309" s="300">
        <f>SUM(Q309:S309)</f>
        <v>5.0979999999698578</v>
      </c>
      <c r="U309" s="300"/>
      <c r="V309" s="300">
        <v>3.0720000000216769</v>
      </c>
      <c r="W309" s="300">
        <v>1.2119999999966755</v>
      </c>
      <c r="X309" s="300">
        <v>0.6960000000099118</v>
      </c>
      <c r="Y309" s="300">
        <f>SUM(V309:X309)</f>
        <v>4.980000000028264</v>
      </c>
    </row>
    <row r="310" spans="1:25" x14ac:dyDescent="0.2">
      <c r="A310" s="260" t="s">
        <v>355</v>
      </c>
      <c r="B310" s="300">
        <v>1.0119999999990035</v>
      </c>
      <c r="C310" s="300">
        <v>0.87600000000920442</v>
      </c>
      <c r="D310" s="300">
        <v>1.4490000000358925</v>
      </c>
      <c r="E310" s="300">
        <f t="shared" ref="E310:E311" si="809">SUM(B310:D310)</f>
        <v>3.3370000000441005</v>
      </c>
      <c r="F310" s="300"/>
      <c r="G310" s="300">
        <v>1.7699999999996043</v>
      </c>
      <c r="H310" s="300">
        <v>0.22700000000236831</v>
      </c>
      <c r="I310" s="300">
        <v>1.8270000000057722</v>
      </c>
      <c r="J310" s="300">
        <f t="shared" ref="J310:J311" si="810">SUM(G310:I310)</f>
        <v>3.8240000000077448</v>
      </c>
      <c r="K310" s="300"/>
      <c r="L310" s="300">
        <v>1.8030000000010682</v>
      </c>
      <c r="M310" s="300">
        <v>0.82100000000810081</v>
      </c>
      <c r="N310" s="300">
        <v>0.80000000001418503</v>
      </c>
      <c r="O310" s="300">
        <f t="shared" ref="O310:O311" si="811">SUM(L310:N310)</f>
        <v>3.4240000000233541</v>
      </c>
      <c r="P310" s="300"/>
      <c r="Q310" s="300">
        <v>1.7290000000045824</v>
      </c>
      <c r="R310" s="300">
        <v>0.82900000000749574</v>
      </c>
      <c r="S310" s="300">
        <v>0.77600000004313163</v>
      </c>
      <c r="T310" s="300">
        <f t="shared" ref="T310:T311" si="812">SUM(Q310:S310)</f>
        <v>3.3340000000552097</v>
      </c>
      <c r="U310" s="300"/>
      <c r="V310" s="300">
        <v>1.6640000000056321</v>
      </c>
      <c r="W310" s="300">
        <v>0.8600000000123762</v>
      </c>
      <c r="X310" s="300">
        <v>0.76300000003155877</v>
      </c>
      <c r="Y310" s="300">
        <f t="shared" ref="Y310:Y311" si="813">SUM(V310:X310)</f>
        <v>3.2870000000495669</v>
      </c>
    </row>
    <row r="311" spans="1:25" x14ac:dyDescent="0.2">
      <c r="A311" s="260" t="s">
        <v>354</v>
      </c>
      <c r="B311" s="300">
        <f>SUM(B309:B310)</f>
        <v>3.2000000000024924</v>
      </c>
      <c r="C311" s="300">
        <f t="shared" ref="C311" si="814">SUM(C309:C310)</f>
        <v>2.161000000004456</v>
      </c>
      <c r="D311" s="300">
        <f t="shared" ref="D311" si="815">SUM(D309:D310)</f>
        <v>2.1370000000586411</v>
      </c>
      <c r="E311" s="300">
        <f t="shared" si="809"/>
        <v>7.4980000000655895</v>
      </c>
      <c r="F311" s="300"/>
      <c r="G311" s="300">
        <f>SUM(G309:G310)</f>
        <v>5.8619999999448602</v>
      </c>
      <c r="H311" s="300">
        <f t="shared" ref="H311" si="816">SUM(H309:H310)</f>
        <v>1.8930000000145246</v>
      </c>
      <c r="I311" s="300">
        <f t="shared" ref="I311" si="817">SUM(I309:I310)</f>
        <v>2.4300000000004478</v>
      </c>
      <c r="J311" s="300">
        <f t="shared" si="810"/>
        <v>10.184999999959832</v>
      </c>
      <c r="K311" s="300"/>
      <c r="L311" s="300">
        <f>SUM(L309:L310)</f>
        <v>5.0549999999719342</v>
      </c>
      <c r="M311" s="300">
        <f t="shared" ref="M311" si="818">SUM(M309:M310)</f>
        <v>2.0920000000138681</v>
      </c>
      <c r="N311" s="300">
        <f t="shared" ref="N311" si="819">SUM(N309:N310)</f>
        <v>1.5449999999875648</v>
      </c>
      <c r="O311" s="300">
        <f t="shared" si="811"/>
        <v>8.6919999999733673</v>
      </c>
      <c r="P311" s="300"/>
      <c r="Q311" s="300">
        <f>SUM(Q309:Q310)</f>
        <v>4.8599999999890464</v>
      </c>
      <c r="R311" s="300">
        <f t="shared" ref="R311" si="820">SUM(R309:R310)</f>
        <v>2.0710000000170101</v>
      </c>
      <c r="S311" s="300">
        <f t="shared" ref="S311" si="821">SUM(S309:S310)</f>
        <v>1.5010000000190109</v>
      </c>
      <c r="T311" s="300">
        <f t="shared" si="812"/>
        <v>8.4320000000250666</v>
      </c>
      <c r="U311" s="300"/>
      <c r="V311" s="300">
        <f>SUM(V309:V310)</f>
        <v>4.7360000000273086</v>
      </c>
      <c r="W311" s="300">
        <f t="shared" ref="W311" si="822">SUM(W309:W310)</f>
        <v>2.0720000000090515</v>
      </c>
      <c r="X311" s="300">
        <f t="shared" ref="X311" si="823">SUM(X309:X310)</f>
        <v>1.4590000000414705</v>
      </c>
      <c r="Y311" s="300">
        <f t="shared" si="813"/>
        <v>8.2670000000778305</v>
      </c>
    </row>
    <row r="312" spans="1:25" x14ac:dyDescent="0.2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x14ac:dyDescent="0.2">
      <c r="A313" s="261" t="str">
        <f>name!A46</f>
        <v>Broadcasting</v>
      </c>
      <c r="C313" s="263"/>
    </row>
    <row r="314" spans="1:25" x14ac:dyDescent="0.2">
      <c r="A314" s="260" t="s">
        <v>356</v>
      </c>
      <c r="B314" s="300">
        <v>6.0000000000164791E-3</v>
      </c>
      <c r="C314" s="300">
        <v>8.9999999999764557E-3</v>
      </c>
      <c r="D314" s="300">
        <v>3.3000000001187545E-2</v>
      </c>
      <c r="E314" s="300">
        <f>SUM(B314:D314)</f>
        <v>4.800000000118048E-2</v>
      </c>
      <c r="F314" s="300"/>
      <c r="G314" s="300">
        <v>3.8999999999367117E-2</v>
      </c>
      <c r="H314" s="300">
        <v>5.8000000000457581E-2</v>
      </c>
      <c r="I314" s="300">
        <v>0.21599999999739064</v>
      </c>
      <c r="J314" s="300">
        <f>SUM(G314:I314)</f>
        <v>0.31299999999721534</v>
      </c>
      <c r="K314" s="300"/>
      <c r="L314" s="300">
        <v>3.0999999999661843E-2</v>
      </c>
      <c r="M314" s="300">
        <v>4.4000000000244933E-2</v>
      </c>
      <c r="N314" s="300">
        <v>0.27999999998872954</v>
      </c>
      <c r="O314" s="300">
        <f>SUM(L314:N314)</f>
        <v>0.35499999998863629</v>
      </c>
      <c r="P314" s="300"/>
      <c r="Q314" s="300">
        <v>2.9999999999869343E-2</v>
      </c>
      <c r="R314" s="300">
        <v>4.3000000000451739E-2</v>
      </c>
      <c r="S314" s="300">
        <v>0.26199999998938273</v>
      </c>
      <c r="T314" s="300">
        <f>SUM(Q314:S314)</f>
        <v>0.33499999998970381</v>
      </c>
      <c r="U314" s="300"/>
      <c r="V314" s="300">
        <v>2.9000000000216512E-2</v>
      </c>
      <c r="W314" s="300">
        <v>4.1999999999864722E-2</v>
      </c>
      <c r="X314" s="300">
        <v>0.2380000000047966</v>
      </c>
      <c r="Y314" s="300">
        <f>SUM(V314:X314)</f>
        <v>0.30900000000487782</v>
      </c>
    </row>
    <row r="315" spans="1:25" x14ac:dyDescent="0.2">
      <c r="A315" s="260" t="s">
        <v>355</v>
      </c>
      <c r="B315" s="300">
        <v>0.13999999999909868</v>
      </c>
      <c r="C315" s="300">
        <v>5.7999999999991801E-2</v>
      </c>
      <c r="D315" s="300">
        <v>0.10200000000261457</v>
      </c>
      <c r="E315" s="300">
        <f t="shared" ref="E315:E316" si="824">SUM(B315:D315)</f>
        <v>0.30000000000170507</v>
      </c>
      <c r="F315" s="300"/>
      <c r="G315" s="300">
        <v>0.78199999999545977</v>
      </c>
      <c r="H315" s="300">
        <v>7.3999999999962165E-2</v>
      </c>
      <c r="I315" s="300">
        <v>0.49700000000093814</v>
      </c>
      <c r="J315" s="300">
        <f t="shared" ref="J315:J316" si="825">SUM(G315:I315)</f>
        <v>1.35299999999636</v>
      </c>
      <c r="K315" s="300"/>
      <c r="L315" s="300">
        <v>0.79599999999090287</v>
      </c>
      <c r="M315" s="300">
        <v>0.26900000000005786</v>
      </c>
      <c r="N315" s="300">
        <v>0.2170000000035637</v>
      </c>
      <c r="O315" s="300">
        <f t="shared" ref="O315:O316" si="826">SUM(L315:N315)</f>
        <v>1.2819999999945244</v>
      </c>
      <c r="P315" s="300"/>
      <c r="Q315" s="300">
        <v>0.7629999999945456</v>
      </c>
      <c r="R315" s="300">
        <v>0.27099999999951602</v>
      </c>
      <c r="S315" s="300">
        <v>0.2110000000123283</v>
      </c>
      <c r="T315" s="300">
        <f t="shared" ref="T315:T316" si="827">SUM(Q315:S315)</f>
        <v>1.2450000000063899</v>
      </c>
      <c r="U315" s="300"/>
      <c r="V315" s="300">
        <v>0.73499999999069765</v>
      </c>
      <c r="W315" s="300">
        <v>0.28099999999822456</v>
      </c>
      <c r="X315" s="300">
        <v>0.20700000000877222</v>
      </c>
      <c r="Y315" s="300">
        <f t="shared" ref="Y315:Y316" si="828">SUM(V315:X315)</f>
        <v>1.2229999999976944</v>
      </c>
    </row>
    <row r="316" spans="1:25" x14ac:dyDescent="0.2">
      <c r="A316" s="260" t="s">
        <v>354</v>
      </c>
      <c r="B316" s="300">
        <f>SUM(B314:B315)</f>
        <v>0.14599999999911517</v>
      </c>
      <c r="C316" s="300">
        <f t="shared" ref="C316" si="829">SUM(C314:C315)</f>
        <v>6.6999999999968252E-2</v>
      </c>
      <c r="D316" s="300">
        <f t="shared" ref="D316" si="830">SUM(D314:D315)</f>
        <v>0.13500000000380211</v>
      </c>
      <c r="E316" s="300">
        <f t="shared" si="824"/>
        <v>0.34800000000288556</v>
      </c>
      <c r="F316" s="300"/>
      <c r="G316" s="300">
        <f>SUM(G314:G315)</f>
        <v>0.82099999999482687</v>
      </c>
      <c r="H316" s="300">
        <f t="shared" ref="H316" si="831">SUM(H314:H315)</f>
        <v>0.13200000000041975</v>
      </c>
      <c r="I316" s="300">
        <f t="shared" ref="I316" si="832">SUM(I314:I315)</f>
        <v>0.71299999999832875</v>
      </c>
      <c r="J316" s="300">
        <f t="shared" si="825"/>
        <v>1.6659999999935753</v>
      </c>
      <c r="K316" s="300"/>
      <c r="L316" s="300">
        <f>SUM(L314:L315)</f>
        <v>0.82699999999056473</v>
      </c>
      <c r="M316" s="300">
        <f t="shared" ref="M316" si="833">SUM(M314:M315)</f>
        <v>0.31300000000030281</v>
      </c>
      <c r="N316" s="300">
        <f t="shared" ref="N316" si="834">SUM(N314:N315)</f>
        <v>0.49699999999229327</v>
      </c>
      <c r="O316" s="300">
        <f t="shared" si="826"/>
        <v>1.6369999999831606</v>
      </c>
      <c r="P316" s="300"/>
      <c r="Q316" s="300">
        <f>SUM(Q314:Q315)</f>
        <v>0.79299999999441495</v>
      </c>
      <c r="R316" s="300">
        <f t="shared" ref="R316" si="835">SUM(R314:R315)</f>
        <v>0.31399999999996775</v>
      </c>
      <c r="S316" s="300">
        <f t="shared" ref="S316" si="836">SUM(S314:S315)</f>
        <v>0.47300000000171105</v>
      </c>
      <c r="T316" s="300">
        <f t="shared" si="827"/>
        <v>1.5799999999960939</v>
      </c>
      <c r="U316" s="300"/>
      <c r="V316" s="300">
        <f>SUM(V314:V315)</f>
        <v>0.76399999999091417</v>
      </c>
      <c r="W316" s="300">
        <f t="shared" ref="W316" si="837">SUM(W314:W315)</f>
        <v>0.32299999999808926</v>
      </c>
      <c r="X316" s="300">
        <f t="shared" ref="X316" si="838">SUM(X314:X315)</f>
        <v>0.44500000001356882</v>
      </c>
      <c r="Y316" s="300">
        <f t="shared" si="828"/>
        <v>1.5320000000025722</v>
      </c>
    </row>
    <row r="317" spans="1:25" x14ac:dyDescent="0.2">
      <c r="C317" s="263"/>
    </row>
    <row r="318" spans="1:25" x14ac:dyDescent="0.2">
      <c r="A318" s="261" t="s">
        <v>364</v>
      </c>
      <c r="C318" s="263"/>
    </row>
    <row r="319" spans="1:25" x14ac:dyDescent="0.2">
      <c r="A319" s="260" t="s">
        <v>356</v>
      </c>
      <c r="B319" s="300">
        <f>SUM(B304,B309,B314)</f>
        <v>3.3720000000015458</v>
      </c>
      <c r="C319" s="300">
        <f t="shared" ref="C319:D319" si="839">SUM(C304,C309,C314)</f>
        <v>1.5379999999941567</v>
      </c>
      <c r="D319" s="300">
        <f t="shared" si="839"/>
        <v>1.8610000000624611</v>
      </c>
      <c r="E319" s="300">
        <f>SUM(B319:D319)</f>
        <v>6.7710000000581632</v>
      </c>
      <c r="F319" s="300"/>
      <c r="G319" s="300">
        <f>SUM(G304,G309,G314)</f>
        <v>5.7529999999131505</v>
      </c>
      <c r="H319" s="300">
        <f t="shared" ref="H319:I319" si="840">SUM(H304,H309,H314)</f>
        <v>2.6150000000154319</v>
      </c>
      <c r="I319" s="300">
        <f t="shared" si="840"/>
        <v>2.6549999999765106</v>
      </c>
      <c r="J319" s="300">
        <f>SUM(G319:I319)</f>
        <v>11.022999999905092</v>
      </c>
      <c r="K319" s="300"/>
      <c r="L319" s="300">
        <f>SUM(L304,L309,L314)</f>
        <v>4.5719999999531513</v>
      </c>
      <c r="M319" s="300">
        <f t="shared" ref="M319:N319" si="841">SUM(M304,M309,M314)</f>
        <v>1.9950000000061234</v>
      </c>
      <c r="N319" s="300">
        <f t="shared" si="841"/>
        <v>3.1239999998815464</v>
      </c>
      <c r="O319" s="300">
        <f>SUM(L319:N319)</f>
        <v>9.6909999998408214</v>
      </c>
      <c r="P319" s="300"/>
      <c r="Q319" s="300">
        <f>SUM(Q304,Q309,Q314)</f>
        <v>4.4019999999968844</v>
      </c>
      <c r="R319" s="300">
        <f t="shared" ref="R319:S319" si="842">SUM(R304,R309,R314)</f>
        <v>1.9490000000115149</v>
      </c>
      <c r="S319" s="300">
        <f t="shared" si="842"/>
        <v>2.9789999998922236</v>
      </c>
      <c r="T319" s="300">
        <f>SUM(Q319:S319)</f>
        <v>9.3299999999006236</v>
      </c>
      <c r="U319" s="300"/>
      <c r="V319" s="300">
        <f>SUM(V304,V309,V314)</f>
        <v>4.319000000025623</v>
      </c>
      <c r="W319" s="300">
        <f t="shared" ref="W319:X319" si="843">SUM(W304,W309,W314)</f>
        <v>1.9019999999932051</v>
      </c>
      <c r="X319" s="300">
        <f t="shared" si="843"/>
        <v>2.7740000000462848</v>
      </c>
      <c r="Y319" s="300">
        <f>SUM(V319:X319)</f>
        <v>8.9950000000651116</v>
      </c>
    </row>
    <row r="320" spans="1:25" x14ac:dyDescent="0.2">
      <c r="A320" s="260" t="s">
        <v>355</v>
      </c>
      <c r="B320" s="300">
        <f>SUM(B305,B310,B315)</f>
        <v>4.4279999999766533</v>
      </c>
      <c r="C320" s="300">
        <f t="shared" ref="C320:D320" si="844">SUM(C305,C310,C315)</f>
        <v>1.5810000000096154</v>
      </c>
      <c r="D320" s="300">
        <f t="shared" si="844"/>
        <v>3.2790000000617798</v>
      </c>
      <c r="E320" s="300">
        <f t="shared" ref="E320:E321" si="845">SUM(B320:D320)</f>
        <v>9.2880000000480489</v>
      </c>
      <c r="F320" s="300"/>
      <c r="G320" s="300">
        <f>SUM(G305,G310,G315)</f>
        <v>6.7729999999698034</v>
      </c>
      <c r="H320" s="300">
        <f t="shared" ref="H320:I320" si="846">SUM(H305,H310,H315)</f>
        <v>0.77200000000169777</v>
      </c>
      <c r="I320" s="300">
        <f t="shared" si="846"/>
        <v>4.8490000000104301</v>
      </c>
      <c r="J320" s="300">
        <f t="shared" ref="J320:J321" si="847">SUM(G320:I320)</f>
        <v>12.393999999981931</v>
      </c>
      <c r="K320" s="300"/>
      <c r="L320" s="300">
        <f>SUM(L305,L310,L315)</f>
        <v>6.8979999999423072</v>
      </c>
      <c r="M320" s="300">
        <f t="shared" ref="M320:N320" si="848">SUM(M305,M310,M315)</f>
        <v>2.7960000000060754</v>
      </c>
      <c r="N320" s="300">
        <f t="shared" si="848"/>
        <v>2.1230000000218991</v>
      </c>
      <c r="O320" s="300">
        <f t="shared" ref="O320:O321" si="849">SUM(L320:N320)</f>
        <v>11.816999999970282</v>
      </c>
      <c r="P320" s="300"/>
      <c r="Q320" s="300">
        <f>SUM(Q305,Q310,Q315)</f>
        <v>6.6139999999701891</v>
      </c>
      <c r="R320" s="300">
        <f t="shared" ref="R320:S320" si="850">SUM(R305,R310,R315)</f>
        <v>2.8240000000032022</v>
      </c>
      <c r="S320" s="300">
        <f t="shared" si="850"/>
        <v>2.0600000000823107</v>
      </c>
      <c r="T320" s="300">
        <f t="shared" ref="T320:T321" si="851">SUM(Q320:S320)</f>
        <v>11.498000000055701</v>
      </c>
      <c r="U320" s="300"/>
      <c r="V320" s="300">
        <f>SUM(V305,V310,V315)</f>
        <v>6.3659999999402297</v>
      </c>
      <c r="W320" s="300">
        <f t="shared" ref="W320:X320" si="852">SUM(W305,W310,W315)</f>
        <v>2.9289999999995371</v>
      </c>
      <c r="X320" s="300">
        <f t="shared" si="852"/>
        <v>2.0240000000609863</v>
      </c>
      <c r="Y320" s="300">
        <f t="shared" ref="Y320:Y321" si="853">SUM(V320:X320)</f>
        <v>11.319000000000754</v>
      </c>
    </row>
    <row r="321" spans="1:25" x14ac:dyDescent="0.2">
      <c r="A321" s="264" t="s">
        <v>354</v>
      </c>
      <c r="B321" s="301">
        <f>SUM(B319:B320)</f>
        <v>7.7999999999781995</v>
      </c>
      <c r="C321" s="301">
        <f t="shared" ref="C321" si="854">SUM(C319:C320)</f>
        <v>3.1190000000037719</v>
      </c>
      <c r="D321" s="301">
        <f t="shared" ref="D321" si="855">SUM(D319:D320)</f>
        <v>5.1400000001242407</v>
      </c>
      <c r="E321" s="301">
        <f t="shared" si="845"/>
        <v>16.059000000106209</v>
      </c>
      <c r="F321" s="301"/>
      <c r="G321" s="301">
        <f>SUM(G319:G320)</f>
        <v>12.525999999882954</v>
      </c>
      <c r="H321" s="301">
        <f t="shared" ref="H321" si="856">SUM(H319:H320)</f>
        <v>3.3870000000171299</v>
      </c>
      <c r="I321" s="301">
        <f t="shared" ref="I321" si="857">SUM(I319:I320)</f>
        <v>7.5039999999869407</v>
      </c>
      <c r="J321" s="301">
        <f t="shared" si="847"/>
        <v>23.416999999887025</v>
      </c>
      <c r="K321" s="301"/>
      <c r="L321" s="301">
        <f>SUM(L319:L320)</f>
        <v>11.469999999895458</v>
      </c>
      <c r="M321" s="301">
        <f t="shared" ref="M321" si="858">SUM(M319:M320)</f>
        <v>4.7910000000121986</v>
      </c>
      <c r="N321" s="301">
        <f t="shared" ref="N321" si="859">SUM(N319:N320)</f>
        <v>5.246999999903446</v>
      </c>
      <c r="O321" s="301">
        <f t="shared" si="849"/>
        <v>21.507999999811105</v>
      </c>
      <c r="P321" s="301"/>
      <c r="Q321" s="301">
        <f>SUM(Q319:Q320)</f>
        <v>11.015999999967073</v>
      </c>
      <c r="R321" s="301">
        <f t="shared" ref="R321" si="860">SUM(R319:R320)</f>
        <v>4.7730000000147168</v>
      </c>
      <c r="S321" s="301">
        <f t="shared" ref="S321" si="861">SUM(S319:S320)</f>
        <v>5.0389999999745338</v>
      </c>
      <c r="T321" s="301">
        <f t="shared" si="851"/>
        <v>20.827999999956326</v>
      </c>
      <c r="U321" s="301"/>
      <c r="V321" s="301">
        <f>SUM(V319:V320)</f>
        <v>10.684999999965854</v>
      </c>
      <c r="W321" s="301">
        <f t="shared" ref="W321" si="862">SUM(W319:W320)</f>
        <v>4.8309999999927422</v>
      </c>
      <c r="X321" s="301">
        <f t="shared" ref="X321" si="863">SUM(X319:X320)</f>
        <v>4.7980000001072707</v>
      </c>
      <c r="Y321" s="301">
        <f t="shared" si="853"/>
        <v>20.314000000065867</v>
      </c>
    </row>
    <row r="322" spans="1:25" x14ac:dyDescent="0.2">
      <c r="C322" s="263"/>
    </row>
    <row r="323" spans="1:25" x14ac:dyDescent="0.2">
      <c r="C323" s="263"/>
    </row>
    <row r="324" spans="1:25" x14ac:dyDescent="0.2">
      <c r="A324" s="262"/>
    </row>
    <row r="325" spans="1:25" ht="15" x14ac:dyDescent="0.25">
      <c r="A325" s="265" t="str">
        <f>"Industry 13 : "&amp; name!B16</f>
        <v>Industry 13 : Information technology</v>
      </c>
      <c r="B325" s="371">
        <f>$B$5</f>
        <v>2015</v>
      </c>
      <c r="C325" s="371"/>
      <c r="D325" s="371"/>
      <c r="E325" s="371"/>
      <c r="F325" s="320"/>
      <c r="G325" s="371">
        <f>$G$5</f>
        <v>2019</v>
      </c>
      <c r="H325" s="371"/>
      <c r="I325" s="371"/>
      <c r="J325" s="371"/>
      <c r="K325" s="320"/>
      <c r="L325" s="371">
        <f>$L$5</f>
        <v>2020</v>
      </c>
      <c r="M325" s="371"/>
      <c r="N325" s="371"/>
      <c r="O325" s="371"/>
      <c r="P325" s="318"/>
      <c r="Q325" s="371">
        <f>$Q$5</f>
        <v>2025</v>
      </c>
      <c r="R325" s="371"/>
      <c r="S325" s="371"/>
      <c r="T325" s="371"/>
      <c r="U325" s="320"/>
      <c r="V325" s="371">
        <f>$V$5</f>
        <v>2035</v>
      </c>
      <c r="W325" s="371"/>
      <c r="X325" s="371"/>
      <c r="Y325" s="371"/>
    </row>
    <row r="326" spans="1:25" x14ac:dyDescent="0.2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x14ac:dyDescent="0.2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x14ac:dyDescent="0.2">
      <c r="A328" s="261" t="str">
        <f>name!A47</f>
        <v>Telecommunications</v>
      </c>
      <c r="C328" s="263"/>
    </row>
    <row r="329" spans="1:25" x14ac:dyDescent="0.2">
      <c r="A329" s="260" t="s">
        <v>356</v>
      </c>
      <c r="B329" s="300">
        <v>2.033999999988676</v>
      </c>
      <c r="C329" s="300">
        <v>0.5590000000093065</v>
      </c>
      <c r="D329" s="300">
        <v>0.74500000001192845</v>
      </c>
      <c r="E329" s="300">
        <f>SUM(B329:D329)</f>
        <v>3.3380000000099108</v>
      </c>
      <c r="F329" s="300"/>
      <c r="G329" s="300">
        <v>2.2049999999641745</v>
      </c>
      <c r="H329" s="300">
        <v>0.29700000000141208</v>
      </c>
      <c r="I329" s="300">
        <v>0.14800000000115995</v>
      </c>
      <c r="J329" s="300">
        <f>SUM(G329:I329)</f>
        <v>2.6499999999667465</v>
      </c>
      <c r="K329" s="300"/>
      <c r="L329" s="300">
        <v>1.832999999978155</v>
      </c>
      <c r="M329" s="300">
        <v>0.18900000000182413</v>
      </c>
      <c r="N329" s="300">
        <v>0.13599999999812976</v>
      </c>
      <c r="O329" s="300">
        <f>SUM(L329:N329)</f>
        <v>2.1579999999781085</v>
      </c>
      <c r="P329" s="300"/>
      <c r="Q329" s="300">
        <v>1.9780000000468916</v>
      </c>
      <c r="R329" s="300">
        <v>0.19700000000321649</v>
      </c>
      <c r="S329" s="300">
        <v>0.12599999999917758</v>
      </c>
      <c r="T329" s="300">
        <f>SUM(Q329:S329)</f>
        <v>2.3010000000492856</v>
      </c>
      <c r="U329" s="300"/>
      <c r="V329" s="300">
        <v>2.1769999999968355</v>
      </c>
      <c r="W329" s="300">
        <v>0.20000000000174831</v>
      </c>
      <c r="X329" s="300">
        <v>0.11900000000008501</v>
      </c>
      <c r="Y329" s="300">
        <f>SUM(V329:X329)</f>
        <v>2.4959999999986686</v>
      </c>
    </row>
    <row r="330" spans="1:25" x14ac:dyDescent="0.2">
      <c r="A330" s="260" t="s">
        <v>355</v>
      </c>
      <c r="B330" s="300">
        <v>11.809999999870264</v>
      </c>
      <c r="C330" s="300">
        <v>0.70800000000074714</v>
      </c>
      <c r="D330" s="300">
        <v>2.9770000000192742</v>
      </c>
      <c r="E330" s="300">
        <f t="shared" ref="E330:E331" si="864">SUM(B330:D330)</f>
        <v>15.494999999890286</v>
      </c>
      <c r="F330" s="300"/>
      <c r="G330" s="300">
        <v>9.6759999999023982</v>
      </c>
      <c r="H330" s="300">
        <v>0.14200000000025059</v>
      </c>
      <c r="I330" s="300">
        <v>1.5289999999984918</v>
      </c>
      <c r="J330" s="300">
        <f t="shared" ref="J330:J331" si="865">SUM(G330:I330)</f>
        <v>11.34699999990114</v>
      </c>
      <c r="K330" s="300"/>
      <c r="L330" s="300">
        <v>9.4999999998069491</v>
      </c>
      <c r="M330" s="300">
        <v>0.53500000000025438</v>
      </c>
      <c r="N330" s="300">
        <v>1.0719999999938019</v>
      </c>
      <c r="O330" s="300">
        <f t="shared" ref="O330:O331" si="866">SUM(L330:N330)</f>
        <v>11.106999999801005</v>
      </c>
      <c r="P330" s="300"/>
      <c r="Q330" s="300">
        <v>9.9449999998676279</v>
      </c>
      <c r="R330" s="300">
        <v>0.56800000000110784</v>
      </c>
      <c r="S330" s="300">
        <v>1.1560000000154473</v>
      </c>
      <c r="T330" s="300">
        <f t="shared" ref="T330:T331" si="867">SUM(Q330:S330)</f>
        <v>11.668999999884184</v>
      </c>
      <c r="U330" s="300"/>
      <c r="V330" s="300">
        <v>10.378999999782087</v>
      </c>
      <c r="W330" s="300">
        <v>0.60400000000243548</v>
      </c>
      <c r="X330" s="300">
        <v>1.2469999999994703</v>
      </c>
      <c r="Y330" s="300">
        <f t="shared" ref="Y330:Y331" si="868">SUM(V330:X330)</f>
        <v>12.229999999783992</v>
      </c>
    </row>
    <row r="331" spans="1:25" x14ac:dyDescent="0.2">
      <c r="A331" s="260" t="s">
        <v>354</v>
      </c>
      <c r="B331" s="300">
        <f>SUM(B329:B330)</f>
        <v>13.843999999858941</v>
      </c>
      <c r="C331" s="300">
        <f t="shared" ref="C331" si="869">SUM(C329:C330)</f>
        <v>1.2670000000100536</v>
      </c>
      <c r="D331" s="300">
        <f t="shared" ref="D331" si="870">SUM(D329:D330)</f>
        <v>3.7220000000312026</v>
      </c>
      <c r="E331" s="300">
        <f t="shared" si="864"/>
        <v>18.832999999900196</v>
      </c>
      <c r="F331" s="300"/>
      <c r="G331" s="300">
        <f>SUM(G329:G330)</f>
        <v>11.880999999866573</v>
      </c>
      <c r="H331" s="300">
        <f t="shared" ref="H331" si="871">SUM(H329:H330)</f>
        <v>0.43900000000166267</v>
      </c>
      <c r="I331" s="300">
        <f t="shared" ref="I331" si="872">SUM(I329:I330)</f>
        <v>1.6769999999996517</v>
      </c>
      <c r="J331" s="300">
        <f t="shared" si="865"/>
        <v>13.996999999867887</v>
      </c>
      <c r="K331" s="300"/>
      <c r="L331" s="300">
        <f>SUM(L329:L330)</f>
        <v>11.332999999785104</v>
      </c>
      <c r="M331" s="300">
        <f t="shared" ref="M331" si="873">SUM(M329:M330)</f>
        <v>0.72400000000207854</v>
      </c>
      <c r="N331" s="300">
        <f t="shared" ref="N331" si="874">SUM(N329:N330)</f>
        <v>1.2079999999919317</v>
      </c>
      <c r="O331" s="300">
        <f t="shared" si="866"/>
        <v>13.264999999779114</v>
      </c>
      <c r="P331" s="300"/>
      <c r="Q331" s="300">
        <f>SUM(Q329:Q330)</f>
        <v>11.92299999991452</v>
      </c>
      <c r="R331" s="300">
        <f t="shared" ref="R331" si="875">SUM(R329:R330)</f>
        <v>0.76500000000432433</v>
      </c>
      <c r="S331" s="300">
        <f t="shared" ref="S331" si="876">SUM(S329:S330)</f>
        <v>1.282000000014625</v>
      </c>
      <c r="T331" s="300">
        <f t="shared" si="867"/>
        <v>13.969999999933469</v>
      </c>
      <c r="U331" s="300"/>
      <c r="V331" s="300">
        <f>SUM(V329:V330)</f>
        <v>12.555999999778923</v>
      </c>
      <c r="W331" s="300">
        <f t="shared" ref="W331" si="877">SUM(W329:W330)</f>
        <v>0.80400000000418381</v>
      </c>
      <c r="X331" s="300">
        <f t="shared" ref="X331" si="878">SUM(X329:X330)</f>
        <v>1.3659999999995553</v>
      </c>
      <c r="Y331" s="300">
        <f t="shared" si="868"/>
        <v>14.725999999782662</v>
      </c>
    </row>
    <row r="332" spans="1:25" x14ac:dyDescent="0.2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x14ac:dyDescent="0.2">
      <c r="A333" s="261" t="str">
        <f>name!A48</f>
        <v>Computing services</v>
      </c>
      <c r="C333" s="263"/>
    </row>
    <row r="334" spans="1:25" x14ac:dyDescent="0.2">
      <c r="A334" s="260" t="s">
        <v>356</v>
      </c>
      <c r="B334" s="300">
        <v>5.7950000000029824</v>
      </c>
      <c r="C334" s="300">
        <v>2.841000000006396</v>
      </c>
      <c r="D334" s="300">
        <v>2.0410000000485837</v>
      </c>
      <c r="E334" s="300">
        <f>SUM(B334:D334)</f>
        <v>10.677000000057962</v>
      </c>
      <c r="F334" s="300"/>
      <c r="G334" s="300">
        <v>8.6929999998424528</v>
      </c>
      <c r="H334" s="300">
        <v>4.7079999999187692</v>
      </c>
      <c r="I334" s="300">
        <v>0.92099999999500715</v>
      </c>
      <c r="J334" s="300">
        <f>SUM(G334:I334)</f>
        <v>14.32199999975623</v>
      </c>
      <c r="K334" s="300"/>
      <c r="L334" s="300">
        <v>7.2249999999067978</v>
      </c>
      <c r="M334" s="300">
        <v>2.9929999999572319</v>
      </c>
      <c r="N334" s="300">
        <v>2.3639999999439576</v>
      </c>
      <c r="O334" s="300">
        <f>SUM(L334:N334)</f>
        <v>12.581999999807987</v>
      </c>
      <c r="P334" s="300"/>
      <c r="Q334" s="300">
        <v>7.7970000000759372</v>
      </c>
      <c r="R334" s="300">
        <v>3.1129999999283577</v>
      </c>
      <c r="S334" s="300">
        <v>2.5499999999505119</v>
      </c>
      <c r="T334" s="300">
        <f>SUM(Q334:S334)</f>
        <v>13.459999999954807</v>
      </c>
      <c r="U334" s="300"/>
      <c r="V334" s="300">
        <v>8.580000000022471</v>
      </c>
      <c r="W334" s="300">
        <v>3.1720000000224697</v>
      </c>
      <c r="X334" s="300">
        <v>2.7220000000150733</v>
      </c>
      <c r="Y334" s="300">
        <f>SUM(V334:X334)</f>
        <v>14.474000000060014</v>
      </c>
    </row>
    <row r="335" spans="1:25" x14ac:dyDescent="0.2">
      <c r="A335" s="260" t="s">
        <v>355</v>
      </c>
      <c r="B335" s="300">
        <v>24.905999999675394</v>
      </c>
      <c r="C335" s="300">
        <v>1.5259999999826368</v>
      </c>
      <c r="D335" s="300">
        <v>6.6880000000613418</v>
      </c>
      <c r="E335" s="300">
        <f t="shared" ref="E335:E336" si="879">SUM(B335:D335)</f>
        <v>33.119999999719376</v>
      </c>
      <c r="F335" s="300"/>
      <c r="G335" s="300">
        <v>28.237999999649489</v>
      </c>
      <c r="H335" s="300">
        <v>0.95399999998967888</v>
      </c>
      <c r="I335" s="300">
        <v>5.2559999999714098</v>
      </c>
      <c r="J335" s="300">
        <f t="shared" ref="J335:J336" si="880">SUM(G335:I335)</f>
        <v>34.44799999961058</v>
      </c>
      <c r="K335" s="300"/>
      <c r="L335" s="300">
        <v>27.723999999280355</v>
      </c>
      <c r="M335" s="300">
        <v>3.5909999999701498</v>
      </c>
      <c r="N335" s="300">
        <v>3.6819999999760515</v>
      </c>
      <c r="O335" s="300">
        <f t="shared" ref="O335:O336" si="881">SUM(L335:N335)</f>
        <v>34.99699999922656</v>
      </c>
      <c r="P335" s="300"/>
      <c r="Q335" s="300">
        <v>29.020999999475208</v>
      </c>
      <c r="R335" s="300">
        <v>3.8159999999737932</v>
      </c>
      <c r="S335" s="300">
        <v>3.9720000000740274</v>
      </c>
      <c r="T335" s="300">
        <f t="shared" ref="T335:T336" si="882">SUM(Q335:S335)</f>
        <v>36.808999999523024</v>
      </c>
      <c r="U335" s="300"/>
      <c r="V335" s="300">
        <v>30.288999999212219</v>
      </c>
      <c r="W335" s="300">
        <v>4.0579999999641858</v>
      </c>
      <c r="X335" s="300">
        <v>4.2849999999996822</v>
      </c>
      <c r="Y335" s="300">
        <f t="shared" ref="Y335:Y336" si="883">SUM(V335:X335)</f>
        <v>38.631999999176088</v>
      </c>
    </row>
    <row r="336" spans="1:25" x14ac:dyDescent="0.2">
      <c r="A336" s="260" t="s">
        <v>354</v>
      </c>
      <c r="B336" s="300">
        <f>SUM(B334:B335)</f>
        <v>30.700999999678377</v>
      </c>
      <c r="C336" s="300">
        <f t="shared" ref="C336" si="884">SUM(C334:C335)</f>
        <v>4.3669999999890328</v>
      </c>
      <c r="D336" s="300">
        <f t="shared" ref="D336" si="885">SUM(D334:D335)</f>
        <v>8.7290000001099255</v>
      </c>
      <c r="E336" s="300">
        <f t="shared" si="879"/>
        <v>43.796999999777334</v>
      </c>
      <c r="F336" s="300"/>
      <c r="G336" s="300">
        <f>SUM(G334:G335)</f>
        <v>36.930999999491945</v>
      </c>
      <c r="H336" s="300">
        <f t="shared" ref="H336" si="886">SUM(H334:H335)</f>
        <v>5.6619999999084483</v>
      </c>
      <c r="I336" s="300">
        <f t="shared" ref="I336" si="887">SUM(I334:I335)</f>
        <v>6.1769999999664167</v>
      </c>
      <c r="J336" s="300">
        <f t="shared" si="880"/>
        <v>48.76999999936681</v>
      </c>
      <c r="K336" s="300"/>
      <c r="L336" s="300">
        <f>SUM(L334:L335)</f>
        <v>34.948999999187151</v>
      </c>
      <c r="M336" s="300">
        <f t="shared" ref="M336" si="888">SUM(M334:M335)</f>
        <v>6.5839999999273822</v>
      </c>
      <c r="N336" s="300">
        <f t="shared" ref="N336" si="889">SUM(N334:N335)</f>
        <v>6.0459999999200091</v>
      </c>
      <c r="O336" s="300">
        <f t="shared" si="881"/>
        <v>47.578999999034544</v>
      </c>
      <c r="P336" s="300"/>
      <c r="Q336" s="300">
        <f>SUM(Q334:Q335)</f>
        <v>36.817999999551148</v>
      </c>
      <c r="R336" s="300">
        <f t="shared" ref="R336" si="890">SUM(R334:R335)</f>
        <v>6.9289999999021514</v>
      </c>
      <c r="S336" s="300">
        <f t="shared" ref="S336" si="891">SUM(S334:S335)</f>
        <v>6.5220000000245388</v>
      </c>
      <c r="T336" s="300">
        <f t="shared" si="882"/>
        <v>50.268999999477842</v>
      </c>
      <c r="U336" s="300"/>
      <c r="V336" s="300">
        <f>SUM(V334:V335)</f>
        <v>38.868999999234688</v>
      </c>
      <c r="W336" s="300">
        <f t="shared" ref="W336" si="892">SUM(W334:W335)</f>
        <v>7.2299999999866555</v>
      </c>
      <c r="X336" s="300">
        <f t="shared" ref="X336" si="893">SUM(X334:X335)</f>
        <v>7.0070000000147559</v>
      </c>
      <c r="Y336" s="300">
        <f t="shared" si="883"/>
        <v>53.105999999236097</v>
      </c>
    </row>
    <row r="337" spans="1:25" x14ac:dyDescent="0.2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x14ac:dyDescent="0.2">
      <c r="A338" s="261" t="str">
        <f>name!A49</f>
        <v>Information services</v>
      </c>
      <c r="C338" s="263"/>
    </row>
    <row r="339" spans="1:25" x14ac:dyDescent="0.2">
      <c r="A339" s="260" t="s">
        <v>356</v>
      </c>
      <c r="B339" s="300">
        <v>5.3119999999763055</v>
      </c>
      <c r="C339" s="300">
        <v>0.81999999999896012</v>
      </c>
      <c r="D339" s="300">
        <v>0.5460000000095272</v>
      </c>
      <c r="E339" s="300">
        <f>SUM(B339:D339)</f>
        <v>6.6779999999847925</v>
      </c>
      <c r="F339" s="300"/>
      <c r="G339" s="300">
        <v>3.211999999973441</v>
      </c>
      <c r="H339" s="300">
        <v>0.59299999999564845</v>
      </c>
      <c r="I339" s="300">
        <v>0.13100000000137196</v>
      </c>
      <c r="J339" s="300">
        <f>SUM(G339:I339)</f>
        <v>3.9359999999704613</v>
      </c>
      <c r="K339" s="300"/>
      <c r="L339" s="300">
        <v>2.6699999999844399</v>
      </c>
      <c r="M339" s="300">
        <v>0.37699999999755407</v>
      </c>
      <c r="N339" s="300">
        <v>0.26299999999591611</v>
      </c>
      <c r="O339" s="300">
        <f>SUM(L339:N339)</f>
        <v>3.3099999999779102</v>
      </c>
      <c r="P339" s="300"/>
      <c r="Q339" s="300">
        <v>2.881000000046027</v>
      </c>
      <c r="R339" s="300">
        <v>0.39199999999480917</v>
      </c>
      <c r="S339" s="300">
        <v>0.28399999999998687</v>
      </c>
      <c r="T339" s="300">
        <f>SUM(Q339:S339)</f>
        <v>3.5570000000408233</v>
      </c>
      <c r="U339" s="300"/>
      <c r="V339" s="300">
        <v>3.1699999999943942</v>
      </c>
      <c r="W339" s="300">
        <v>0.39900000000212754</v>
      </c>
      <c r="X339" s="300">
        <v>0.29299999999847853</v>
      </c>
      <c r="Y339" s="300">
        <f>SUM(V339:X339)</f>
        <v>3.8619999999950005</v>
      </c>
    </row>
    <row r="340" spans="1:25" x14ac:dyDescent="0.2">
      <c r="A340" s="260" t="s">
        <v>355</v>
      </c>
      <c r="B340" s="300">
        <v>4.2509999999616204</v>
      </c>
      <c r="C340" s="300">
        <v>0.68500000000749828</v>
      </c>
      <c r="D340" s="300">
        <v>1.3350000000134203</v>
      </c>
      <c r="E340" s="300">
        <f t="shared" ref="E340:E341" si="894">SUM(B340:D340)</f>
        <v>6.2709999999825392</v>
      </c>
      <c r="F340" s="300"/>
      <c r="G340" s="300">
        <v>1.9419999999841098</v>
      </c>
      <c r="H340" s="300">
        <v>0.18700000000186173</v>
      </c>
      <c r="I340" s="300">
        <v>0.44800000000022711</v>
      </c>
      <c r="J340" s="300">
        <f t="shared" ref="J340:J341" si="895">SUM(G340:I340)</f>
        <v>2.5769999999861986</v>
      </c>
      <c r="K340" s="300"/>
      <c r="L340" s="300">
        <v>1.9069999999681275</v>
      </c>
      <c r="M340" s="300">
        <v>0.7020000000061557</v>
      </c>
      <c r="N340" s="300">
        <v>0.31400000000080147</v>
      </c>
      <c r="O340" s="300">
        <f t="shared" ref="O340:O341" si="896">SUM(L340:N340)</f>
        <v>2.9229999999750849</v>
      </c>
      <c r="P340" s="300"/>
      <c r="Q340" s="300">
        <v>1.9959999999786833</v>
      </c>
      <c r="R340" s="300">
        <v>0.74600000000595568</v>
      </c>
      <c r="S340" s="300">
        <v>0.33900000000730945</v>
      </c>
      <c r="T340" s="300">
        <f t="shared" ref="T340:T341" si="897">SUM(Q340:S340)</f>
        <v>3.0809999999919482</v>
      </c>
      <c r="U340" s="300"/>
      <c r="V340" s="300">
        <v>2.0839999999678689</v>
      </c>
      <c r="W340" s="300">
        <v>0.79400000000974513</v>
      </c>
      <c r="X340" s="300">
        <v>0.36600000000402855</v>
      </c>
      <c r="Y340" s="300">
        <f t="shared" ref="Y340:Y341" si="898">SUM(V340:X340)</f>
        <v>3.2439999999816425</v>
      </c>
    </row>
    <row r="341" spans="1:25" x14ac:dyDescent="0.2">
      <c r="A341" s="260" t="s">
        <v>354</v>
      </c>
      <c r="B341" s="300">
        <f>SUM(B339:B340)</f>
        <v>9.5629999999379258</v>
      </c>
      <c r="C341" s="300">
        <f t="shared" ref="C341" si="899">SUM(C339:C340)</f>
        <v>1.5050000000064583</v>
      </c>
      <c r="D341" s="300">
        <f t="shared" ref="D341" si="900">SUM(D339:D340)</f>
        <v>1.8810000000229476</v>
      </c>
      <c r="E341" s="300">
        <f t="shared" si="894"/>
        <v>12.948999999967331</v>
      </c>
      <c r="F341" s="300"/>
      <c r="G341" s="300">
        <f>SUM(G339:G340)</f>
        <v>5.1539999999575503</v>
      </c>
      <c r="H341" s="300">
        <f t="shared" ref="H341" si="901">SUM(H339:H340)</f>
        <v>0.77999999999751024</v>
      </c>
      <c r="I341" s="300">
        <f t="shared" ref="I341" si="902">SUM(I339:I340)</f>
        <v>0.57900000000159912</v>
      </c>
      <c r="J341" s="300">
        <f t="shared" si="895"/>
        <v>6.5129999999566603</v>
      </c>
      <c r="K341" s="300"/>
      <c r="L341" s="300">
        <f>SUM(L339:L340)</f>
        <v>4.5769999999525677</v>
      </c>
      <c r="M341" s="300">
        <f t="shared" ref="M341" si="903">SUM(M339:M340)</f>
        <v>1.0790000000037097</v>
      </c>
      <c r="N341" s="300">
        <f t="shared" ref="N341" si="904">SUM(N339:N340)</f>
        <v>0.57699999999671758</v>
      </c>
      <c r="O341" s="300">
        <f t="shared" si="896"/>
        <v>6.2329999999529946</v>
      </c>
      <c r="P341" s="300"/>
      <c r="Q341" s="300">
        <f>SUM(Q339:Q340)</f>
        <v>4.8770000000247098</v>
      </c>
      <c r="R341" s="300">
        <f t="shared" ref="R341" si="905">SUM(R339:R340)</f>
        <v>1.1380000000007648</v>
      </c>
      <c r="S341" s="300">
        <f t="shared" ref="S341" si="906">SUM(S339:S340)</f>
        <v>0.62300000000729638</v>
      </c>
      <c r="T341" s="300">
        <f t="shared" si="897"/>
        <v>6.638000000032771</v>
      </c>
      <c r="U341" s="300"/>
      <c r="V341" s="300">
        <f>SUM(V339:V340)</f>
        <v>5.2539999999622626</v>
      </c>
      <c r="W341" s="300">
        <f t="shared" ref="W341" si="907">SUM(W339:W340)</f>
        <v>1.1930000000118728</v>
      </c>
      <c r="X341" s="300">
        <f t="shared" ref="X341" si="908">SUM(X339:X340)</f>
        <v>0.65900000000250714</v>
      </c>
      <c r="Y341" s="300">
        <f t="shared" si="898"/>
        <v>7.1059999999766426</v>
      </c>
    </row>
    <row r="342" spans="1:25" x14ac:dyDescent="0.2">
      <c r="C342" s="263"/>
    </row>
    <row r="343" spans="1:25" x14ac:dyDescent="0.2">
      <c r="A343" s="261" t="s">
        <v>363</v>
      </c>
      <c r="C343" s="263"/>
    </row>
    <row r="344" spans="1:25" x14ac:dyDescent="0.2">
      <c r="A344" s="260" t="s">
        <v>356</v>
      </c>
      <c r="B344" s="300">
        <f>SUM(B329,B334,B339)</f>
        <v>13.140999999967963</v>
      </c>
      <c r="C344" s="300">
        <f t="shared" ref="C344:D344" si="909">SUM(C329,C334,C339)</f>
        <v>4.2200000000146627</v>
      </c>
      <c r="D344" s="300">
        <f t="shared" si="909"/>
        <v>3.3320000000700394</v>
      </c>
      <c r="E344" s="300">
        <f>SUM(B344:D344)</f>
        <v>20.693000000052663</v>
      </c>
      <c r="F344" s="300"/>
      <c r="G344" s="300">
        <f>SUM(G329,G334,G339)</f>
        <v>14.109999999780069</v>
      </c>
      <c r="H344" s="300">
        <f t="shared" ref="H344:I344" si="910">SUM(H329,H334,H339)</f>
        <v>5.5979999999158299</v>
      </c>
      <c r="I344" s="300">
        <f t="shared" si="910"/>
        <v>1.199999999997539</v>
      </c>
      <c r="J344" s="300">
        <f>SUM(G344:I344)</f>
        <v>20.907999999693438</v>
      </c>
      <c r="K344" s="300"/>
      <c r="L344" s="300">
        <f>SUM(L329,L334,L339)</f>
        <v>11.727999999869393</v>
      </c>
      <c r="M344" s="300">
        <f t="shared" ref="M344:N344" si="911">SUM(M329,M334,M339)</f>
        <v>3.55899999995661</v>
      </c>
      <c r="N344" s="300">
        <f t="shared" si="911"/>
        <v>2.7629999999380033</v>
      </c>
      <c r="O344" s="300">
        <f>SUM(L344:N344)</f>
        <v>18.049999999764005</v>
      </c>
      <c r="P344" s="300"/>
      <c r="Q344" s="300">
        <f>SUM(Q329,Q334,Q339)</f>
        <v>12.656000000168856</v>
      </c>
      <c r="R344" s="300">
        <f t="shared" ref="R344:S344" si="912">SUM(R329,R334,R339)</f>
        <v>3.7019999999263833</v>
      </c>
      <c r="S344" s="300">
        <f t="shared" si="912"/>
        <v>2.9599999999496762</v>
      </c>
      <c r="T344" s="300">
        <f>SUM(Q344:S344)</f>
        <v>19.318000000044915</v>
      </c>
      <c r="U344" s="300"/>
      <c r="V344" s="300">
        <f>SUM(V329,V334,V339)</f>
        <v>13.927000000013701</v>
      </c>
      <c r="W344" s="300">
        <f t="shared" ref="W344:X344" si="913">SUM(W329,W334,W339)</f>
        <v>3.7710000000263455</v>
      </c>
      <c r="X344" s="300">
        <f t="shared" si="913"/>
        <v>3.134000000013637</v>
      </c>
      <c r="Y344" s="300">
        <f>SUM(V344:X344)</f>
        <v>20.832000000053682</v>
      </c>
    </row>
    <row r="345" spans="1:25" x14ac:dyDescent="0.2">
      <c r="A345" s="260" t="s">
        <v>355</v>
      </c>
      <c r="B345" s="300">
        <f>SUM(B330,B335,B340)</f>
        <v>40.96699999950728</v>
      </c>
      <c r="C345" s="300">
        <f t="shared" ref="C345:D345" si="914">SUM(C330,C335,C340)</f>
        <v>2.9189999999908824</v>
      </c>
      <c r="D345" s="300">
        <f t="shared" si="914"/>
        <v>11.000000000094037</v>
      </c>
      <c r="E345" s="300">
        <f t="shared" ref="E345:E346" si="915">SUM(B345:D345)</f>
        <v>54.885999999592201</v>
      </c>
      <c r="F345" s="300"/>
      <c r="G345" s="300">
        <f>SUM(G330,G335,G340)</f>
        <v>39.855999999536003</v>
      </c>
      <c r="H345" s="300">
        <f t="shared" ref="H345:I345" si="916">SUM(H330,H335,H340)</f>
        <v>1.2829999999917912</v>
      </c>
      <c r="I345" s="300">
        <f t="shared" si="916"/>
        <v>7.2329999999701284</v>
      </c>
      <c r="J345" s="300">
        <f t="shared" ref="J345:J346" si="917">SUM(G345:I345)</f>
        <v>48.371999999497923</v>
      </c>
      <c r="K345" s="300"/>
      <c r="L345" s="300">
        <f>SUM(L330,L335,L340)</f>
        <v>39.130999999055433</v>
      </c>
      <c r="M345" s="300">
        <f t="shared" ref="M345:N345" si="918">SUM(M330,M335,M340)</f>
        <v>4.8279999999765604</v>
      </c>
      <c r="N345" s="300">
        <f t="shared" si="918"/>
        <v>5.0679999999706542</v>
      </c>
      <c r="O345" s="300">
        <f t="shared" ref="O345:O346" si="919">SUM(L345:N345)</f>
        <v>49.026999999002648</v>
      </c>
      <c r="P345" s="300"/>
      <c r="Q345" s="300">
        <f>SUM(Q330,Q335,Q340)</f>
        <v>40.96199999932152</v>
      </c>
      <c r="R345" s="300">
        <f t="shared" ref="R345:S345" si="920">SUM(R330,R335,R340)</f>
        <v>5.129999999980857</v>
      </c>
      <c r="S345" s="300">
        <f t="shared" si="920"/>
        <v>5.4670000000967844</v>
      </c>
      <c r="T345" s="300">
        <f t="shared" ref="T345:T346" si="921">SUM(Q345:S345)</f>
        <v>51.558999999399155</v>
      </c>
      <c r="U345" s="300"/>
      <c r="V345" s="300">
        <f>SUM(V330,V335,V340)</f>
        <v>42.751999998962177</v>
      </c>
      <c r="W345" s="300">
        <f t="shared" ref="W345:X345" si="922">SUM(W330,W335,W340)</f>
        <v>5.4559999999763669</v>
      </c>
      <c r="X345" s="300">
        <f t="shared" si="922"/>
        <v>5.8980000000031811</v>
      </c>
      <c r="Y345" s="300">
        <f t="shared" ref="Y345:Y346" si="923">SUM(V345:X345)</f>
        <v>54.105999998941726</v>
      </c>
    </row>
    <row r="346" spans="1:25" x14ac:dyDescent="0.2">
      <c r="A346" s="264" t="s">
        <v>354</v>
      </c>
      <c r="B346" s="301">
        <f>SUM(B344:B345)</f>
        <v>54.10799999947524</v>
      </c>
      <c r="C346" s="301">
        <f t="shared" ref="C346" si="924">SUM(C344:C345)</f>
        <v>7.1390000000055451</v>
      </c>
      <c r="D346" s="301">
        <f t="shared" ref="D346" si="925">SUM(D344:D345)</f>
        <v>14.332000000164076</v>
      </c>
      <c r="E346" s="301">
        <f t="shared" si="915"/>
        <v>75.578999999644864</v>
      </c>
      <c r="F346" s="301"/>
      <c r="G346" s="301">
        <f>SUM(G344:G345)</f>
        <v>53.965999999316068</v>
      </c>
      <c r="H346" s="301">
        <f t="shared" ref="H346" si="926">SUM(H344:H345)</f>
        <v>6.8809999999076208</v>
      </c>
      <c r="I346" s="301">
        <f t="shared" ref="I346" si="927">SUM(I344:I345)</f>
        <v>8.4329999999676666</v>
      </c>
      <c r="J346" s="301">
        <f t="shared" si="917"/>
        <v>69.279999999191361</v>
      </c>
      <c r="K346" s="301"/>
      <c r="L346" s="301">
        <f>SUM(L344:L345)</f>
        <v>50.85899999892483</v>
      </c>
      <c r="M346" s="301">
        <f t="shared" ref="M346" si="928">SUM(M344:M345)</f>
        <v>8.3869999999331704</v>
      </c>
      <c r="N346" s="301">
        <f t="shared" ref="N346" si="929">SUM(N344:N345)</f>
        <v>7.8309999999086575</v>
      </c>
      <c r="O346" s="301">
        <f t="shared" si="919"/>
        <v>67.076999998766652</v>
      </c>
      <c r="P346" s="301"/>
      <c r="Q346" s="301">
        <f>SUM(Q344:Q345)</f>
        <v>53.61799999949038</v>
      </c>
      <c r="R346" s="301">
        <f t="shared" ref="R346" si="930">SUM(R344:R345)</f>
        <v>8.8319999999072394</v>
      </c>
      <c r="S346" s="301">
        <f t="shared" ref="S346" si="931">SUM(S344:S345)</f>
        <v>8.4270000000464602</v>
      </c>
      <c r="T346" s="301">
        <f t="shared" si="921"/>
        <v>70.876999999444081</v>
      </c>
      <c r="U346" s="301"/>
      <c r="V346" s="301">
        <f>SUM(V344:V345)</f>
        <v>56.678999998975875</v>
      </c>
      <c r="W346" s="301">
        <f t="shared" ref="W346" si="932">SUM(W344:W345)</f>
        <v>9.2270000000027128</v>
      </c>
      <c r="X346" s="301">
        <f t="shared" ref="X346" si="933">SUM(X344:X345)</f>
        <v>9.0320000000168186</v>
      </c>
      <c r="Y346" s="301">
        <f t="shared" si="923"/>
        <v>74.937999998995409</v>
      </c>
    </row>
    <row r="347" spans="1:25" x14ac:dyDescent="0.2">
      <c r="A347" s="262"/>
    </row>
    <row r="348" spans="1:25" x14ac:dyDescent="0.2">
      <c r="A348" s="261"/>
    </row>
    <row r="349" spans="1:25" x14ac:dyDescent="0.2">
      <c r="C349" s="263"/>
    </row>
    <row r="350" spans="1:25" ht="15" x14ac:dyDescent="0.25">
      <c r="A350" s="265" t="str">
        <f>"Industry 14 : "&amp; name!B17</f>
        <v>Industry 14 : Finance and insurance</v>
      </c>
      <c r="B350" s="371">
        <f>$B$5</f>
        <v>2015</v>
      </c>
      <c r="C350" s="371"/>
      <c r="D350" s="371"/>
      <c r="E350" s="371"/>
      <c r="F350" s="320"/>
      <c r="G350" s="371">
        <f>$G$5</f>
        <v>2019</v>
      </c>
      <c r="H350" s="371"/>
      <c r="I350" s="371"/>
      <c r="J350" s="371"/>
      <c r="K350" s="320"/>
      <c r="L350" s="371">
        <f>$L$5</f>
        <v>2020</v>
      </c>
      <c r="M350" s="371"/>
      <c r="N350" s="371"/>
      <c r="O350" s="371"/>
      <c r="P350" s="318"/>
      <c r="Q350" s="371">
        <f>$Q$5</f>
        <v>2025</v>
      </c>
      <c r="R350" s="371"/>
      <c r="S350" s="371"/>
      <c r="T350" s="371"/>
      <c r="U350" s="320"/>
      <c r="V350" s="371">
        <f>$V$5</f>
        <v>2035</v>
      </c>
      <c r="W350" s="371"/>
      <c r="X350" s="371"/>
      <c r="Y350" s="371"/>
    </row>
    <row r="351" spans="1:25" x14ac:dyDescent="0.2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x14ac:dyDescent="0.2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x14ac:dyDescent="0.2">
      <c r="A353" s="261" t="str">
        <f>name!A50</f>
        <v>Financial services</v>
      </c>
      <c r="C353" s="263"/>
    </row>
    <row r="354" spans="1:25" x14ac:dyDescent="0.2">
      <c r="A354" s="260" t="s">
        <v>356</v>
      </c>
      <c r="B354" s="300">
        <v>13.327999999929565</v>
      </c>
      <c r="C354" s="300">
        <v>7.5249999999733577</v>
      </c>
      <c r="D354" s="300">
        <v>0</v>
      </c>
      <c r="E354" s="300">
        <f>SUM(B354:D354)</f>
        <v>20.852999999902924</v>
      </c>
      <c r="F354" s="300"/>
      <c r="G354" s="300">
        <v>11.239999999792373</v>
      </c>
      <c r="H354" s="300">
        <v>5.9090000000619991</v>
      </c>
      <c r="I354" s="300">
        <v>0.28500000000573877</v>
      </c>
      <c r="J354" s="300">
        <f>SUM(G354:I354)</f>
        <v>17.433999999860109</v>
      </c>
      <c r="K354" s="300"/>
      <c r="L354" s="300">
        <v>13.481999999809373</v>
      </c>
      <c r="M354" s="300">
        <v>6.4430000000545595</v>
      </c>
      <c r="N354" s="300">
        <v>0.1939999999967747</v>
      </c>
      <c r="O354" s="300">
        <f>SUM(L354:N354)</f>
        <v>20.118999999860705</v>
      </c>
      <c r="P354" s="300"/>
      <c r="Q354" s="300">
        <v>13.437000000127201</v>
      </c>
      <c r="R354" s="300">
        <v>6.3520000001061474</v>
      </c>
      <c r="S354" s="300">
        <v>0.18800000000068093</v>
      </c>
      <c r="T354" s="300">
        <f>SUM(Q354:S354)</f>
        <v>19.977000000234028</v>
      </c>
      <c r="U354" s="300"/>
      <c r="V354" s="300">
        <v>12.878000000126784</v>
      </c>
      <c r="W354" s="300">
        <v>6.0319999999950307</v>
      </c>
      <c r="X354" s="300">
        <v>0.18199999999964708</v>
      </c>
      <c r="Y354" s="300">
        <f>SUM(V354:X354)</f>
        <v>19.092000000121462</v>
      </c>
    </row>
    <row r="355" spans="1:25" x14ac:dyDescent="0.2">
      <c r="A355" s="260" t="s">
        <v>355</v>
      </c>
      <c r="B355" s="300">
        <v>17.327999999831096</v>
      </c>
      <c r="C355" s="300">
        <v>1.3160000000009513</v>
      </c>
      <c r="D355" s="300">
        <v>2.485000000035722</v>
      </c>
      <c r="E355" s="300">
        <f t="shared" ref="E355:E356" si="934">SUM(B355:D355)</f>
        <v>21.128999999867769</v>
      </c>
      <c r="F355" s="300"/>
      <c r="G355" s="300">
        <v>15.024999999860011</v>
      </c>
      <c r="H355" s="300">
        <v>0.70500000000214658</v>
      </c>
      <c r="I355" s="300">
        <v>2.3569999999958133</v>
      </c>
      <c r="J355" s="300">
        <f t="shared" ref="J355:J356" si="935">SUM(G355:I355)</f>
        <v>18.086999999857969</v>
      </c>
      <c r="K355" s="300"/>
      <c r="L355" s="300">
        <v>18.201999999661293</v>
      </c>
      <c r="M355" s="300">
        <v>0.60600000000330612</v>
      </c>
      <c r="N355" s="300">
        <v>0.65100000000243441</v>
      </c>
      <c r="O355" s="300">
        <f t="shared" ref="O355:O356" si="936">SUM(L355:N355)</f>
        <v>19.458999999667032</v>
      </c>
      <c r="P355" s="300"/>
      <c r="Q355" s="300">
        <v>18.216999999785898</v>
      </c>
      <c r="R355" s="300">
        <v>0.63200000000479906</v>
      </c>
      <c r="S355" s="300">
        <v>0.65800000002338077</v>
      </c>
      <c r="T355" s="300">
        <f t="shared" ref="T355:T356" si="937">SUM(Q355:S355)</f>
        <v>19.506999999814077</v>
      </c>
      <c r="U355" s="300"/>
      <c r="V355" s="300">
        <v>17.515999999630012</v>
      </c>
      <c r="W355" s="300">
        <v>0.64900000001139357</v>
      </c>
      <c r="X355" s="300">
        <v>0.65500000001388359</v>
      </c>
      <c r="Y355" s="300">
        <f t="shared" ref="Y355:Y356" si="938">SUM(V355:X355)</f>
        <v>18.819999999655291</v>
      </c>
    </row>
    <row r="356" spans="1:25" x14ac:dyDescent="0.2">
      <c r="A356" s="260" t="s">
        <v>354</v>
      </c>
      <c r="B356" s="300">
        <f>SUM(B354:B355)</f>
        <v>30.65599999976066</v>
      </c>
      <c r="C356" s="300">
        <f t="shared" ref="C356" si="939">SUM(C354:C355)</f>
        <v>8.8409999999743096</v>
      </c>
      <c r="D356" s="300">
        <f t="shared" ref="D356" si="940">SUM(D354:D355)</f>
        <v>2.485000000035722</v>
      </c>
      <c r="E356" s="300">
        <f t="shared" si="934"/>
        <v>41.981999999770693</v>
      </c>
      <c r="F356" s="300"/>
      <c r="G356" s="300">
        <f>SUM(G354:G355)</f>
        <v>26.264999999652382</v>
      </c>
      <c r="H356" s="300">
        <f t="shared" ref="H356" si="941">SUM(H354:H355)</f>
        <v>6.6140000000641459</v>
      </c>
      <c r="I356" s="300">
        <f t="shared" ref="I356" si="942">SUM(I354:I355)</f>
        <v>2.642000000001552</v>
      </c>
      <c r="J356" s="300">
        <f t="shared" si="935"/>
        <v>35.520999999718079</v>
      </c>
      <c r="K356" s="300"/>
      <c r="L356" s="300">
        <f>SUM(L354:L355)</f>
        <v>31.683999999470664</v>
      </c>
      <c r="M356" s="300">
        <f t="shared" ref="M356" si="943">SUM(M354:M355)</f>
        <v>7.0490000000578661</v>
      </c>
      <c r="N356" s="300">
        <f t="shared" ref="N356" si="944">SUM(N354:N355)</f>
        <v>0.84499999999920905</v>
      </c>
      <c r="O356" s="300">
        <f t="shared" si="936"/>
        <v>39.577999999527741</v>
      </c>
      <c r="P356" s="300"/>
      <c r="Q356" s="300">
        <f>SUM(Q354:Q355)</f>
        <v>31.653999999913097</v>
      </c>
      <c r="R356" s="300">
        <f t="shared" ref="R356" si="945">SUM(R354:R355)</f>
        <v>6.9840000001109468</v>
      </c>
      <c r="S356" s="300">
        <f t="shared" ref="S356" si="946">SUM(S354:S355)</f>
        <v>0.84600000002406173</v>
      </c>
      <c r="T356" s="300">
        <f t="shared" si="937"/>
        <v>39.484000000048106</v>
      </c>
      <c r="U356" s="300"/>
      <c r="V356" s="300">
        <f>SUM(V354:V355)</f>
        <v>30.393999999756794</v>
      </c>
      <c r="W356" s="300">
        <f t="shared" ref="W356" si="947">SUM(W354:W355)</f>
        <v>6.6810000000064242</v>
      </c>
      <c r="X356" s="300">
        <f t="shared" ref="X356" si="948">SUM(X354:X355)</f>
        <v>0.8370000000135307</v>
      </c>
      <c r="Y356" s="300">
        <f t="shared" si="938"/>
        <v>37.911999999776754</v>
      </c>
    </row>
    <row r="357" spans="1:25" x14ac:dyDescent="0.2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x14ac:dyDescent="0.2">
      <c r="A358" s="261" t="str">
        <f>name!A51</f>
        <v>Insurance and pensions</v>
      </c>
      <c r="C358" s="263"/>
    </row>
    <row r="359" spans="1:25" x14ac:dyDescent="0.2">
      <c r="A359" s="260" t="s">
        <v>356</v>
      </c>
      <c r="B359" s="300">
        <v>3.3039999999879428</v>
      </c>
      <c r="C359" s="300">
        <v>0.91899999999897442</v>
      </c>
      <c r="D359" s="300">
        <v>0</v>
      </c>
      <c r="E359" s="300">
        <f>SUM(B359:D359)</f>
        <v>4.222999999986917</v>
      </c>
      <c r="F359" s="300"/>
      <c r="G359" s="300">
        <v>3.3279999999465071</v>
      </c>
      <c r="H359" s="300">
        <v>1.1900000000067599</v>
      </c>
      <c r="I359" s="300">
        <v>4.7000000000027554E-2</v>
      </c>
      <c r="J359" s="300">
        <f>SUM(G359:I359)</f>
        <v>4.5649999999532938</v>
      </c>
      <c r="K359" s="300"/>
      <c r="L359" s="300">
        <v>3.9909999999514398</v>
      </c>
      <c r="M359" s="300">
        <v>1.2980000000059662</v>
      </c>
      <c r="N359" s="300">
        <v>4.2999999999372179E-2</v>
      </c>
      <c r="O359" s="300">
        <f>SUM(L359:N359)</f>
        <v>5.3319999999567784</v>
      </c>
      <c r="P359" s="300"/>
      <c r="Q359" s="300">
        <v>3.9780000000197635</v>
      </c>
      <c r="R359" s="300">
        <v>1.2800000000107088</v>
      </c>
      <c r="S359" s="300">
        <v>3.8999999999555279E-2</v>
      </c>
      <c r="T359" s="300">
        <f>SUM(Q359:S359)</f>
        <v>5.2970000000300281</v>
      </c>
      <c r="U359" s="300"/>
      <c r="V359" s="300">
        <v>3.8120000000354954</v>
      </c>
      <c r="W359" s="300">
        <v>1.2150000000023715</v>
      </c>
      <c r="X359" s="300">
        <v>3.1000000000176334E-2</v>
      </c>
      <c r="Y359" s="300">
        <f>SUM(V359:X359)</f>
        <v>5.0580000000380432</v>
      </c>
    </row>
    <row r="360" spans="1:25" x14ac:dyDescent="0.2">
      <c r="A360" s="260" t="s">
        <v>355</v>
      </c>
      <c r="B360" s="300">
        <v>4.0309999999653492</v>
      </c>
      <c r="C360" s="300">
        <v>0.19400000000041637</v>
      </c>
      <c r="D360" s="300">
        <v>0.56200000000625094</v>
      </c>
      <c r="E360" s="300">
        <f t="shared" ref="E360:E361" si="949">SUM(B360:D360)</f>
        <v>4.786999999972017</v>
      </c>
      <c r="F360" s="300"/>
      <c r="G360" s="300">
        <v>4.1739999999659405</v>
      </c>
      <c r="H360" s="300">
        <v>0.17100000000058219</v>
      </c>
      <c r="I360" s="300">
        <v>0.72199999999978359</v>
      </c>
      <c r="J360" s="300">
        <f t="shared" ref="J360:J361" si="950">SUM(G360:I360)</f>
        <v>5.0669999999663062</v>
      </c>
      <c r="K360" s="300"/>
      <c r="L360" s="300">
        <v>5.0569999999173136</v>
      </c>
      <c r="M360" s="300">
        <v>0.14700000000121505</v>
      </c>
      <c r="N360" s="300">
        <v>0.19899999999996751</v>
      </c>
      <c r="O360" s="300">
        <f t="shared" ref="O360:O361" si="951">SUM(L360:N360)</f>
        <v>5.4029999999184968</v>
      </c>
      <c r="P360" s="300"/>
      <c r="Q360" s="300">
        <v>5.0609999999491135</v>
      </c>
      <c r="R360" s="300">
        <v>0.15300000000120997</v>
      </c>
      <c r="S360" s="300">
        <v>0.19300000000360509</v>
      </c>
      <c r="T360" s="300">
        <f t="shared" ref="T360:T361" si="952">SUM(Q360:S360)</f>
        <v>5.4069999999539284</v>
      </c>
      <c r="U360" s="300"/>
      <c r="V360" s="300">
        <v>4.865999999913365</v>
      </c>
      <c r="W360" s="300">
        <v>0.15800000000228584</v>
      </c>
      <c r="X360" s="300">
        <v>0.17000000000139781</v>
      </c>
      <c r="Y360" s="300">
        <f t="shared" ref="Y360:Y361" si="953">SUM(V360:X360)</f>
        <v>5.1939999999170485</v>
      </c>
    </row>
    <row r="361" spans="1:25" x14ac:dyDescent="0.2">
      <c r="A361" s="260" t="s">
        <v>354</v>
      </c>
      <c r="B361" s="300">
        <f>SUM(B359:B360)</f>
        <v>7.3349999999532915</v>
      </c>
      <c r="C361" s="300">
        <f t="shared" ref="C361" si="954">SUM(C359:C360)</f>
        <v>1.1129999999993907</v>
      </c>
      <c r="D361" s="300">
        <f t="shared" ref="D361" si="955">SUM(D359:D360)</f>
        <v>0.56200000000625094</v>
      </c>
      <c r="E361" s="300">
        <f t="shared" si="949"/>
        <v>9.0099999999589322</v>
      </c>
      <c r="F361" s="300"/>
      <c r="G361" s="300">
        <f>SUM(G359:G360)</f>
        <v>7.5019999999124476</v>
      </c>
      <c r="H361" s="300">
        <f t="shared" ref="H361" si="956">SUM(H359:H360)</f>
        <v>1.3610000000073421</v>
      </c>
      <c r="I361" s="300">
        <f t="shared" ref="I361" si="957">SUM(I359:I360)</f>
        <v>0.76899999999981117</v>
      </c>
      <c r="J361" s="300">
        <f t="shared" si="950"/>
        <v>9.6319999999196018</v>
      </c>
      <c r="K361" s="300"/>
      <c r="L361" s="300">
        <f>SUM(L359:L360)</f>
        <v>9.0479999998687539</v>
      </c>
      <c r="M361" s="300">
        <f t="shared" ref="M361" si="958">SUM(M359:M360)</f>
        <v>1.4450000000071812</v>
      </c>
      <c r="N361" s="300">
        <f t="shared" ref="N361" si="959">SUM(N359:N360)</f>
        <v>0.24199999999933969</v>
      </c>
      <c r="O361" s="300">
        <f t="shared" si="951"/>
        <v>10.734999999875274</v>
      </c>
      <c r="P361" s="300"/>
      <c r="Q361" s="300">
        <f>SUM(Q359:Q360)</f>
        <v>9.0389999999688762</v>
      </c>
      <c r="R361" s="300">
        <f t="shared" ref="R361" si="960">SUM(R359:R360)</f>
        <v>1.4330000000119187</v>
      </c>
      <c r="S361" s="300">
        <f t="shared" ref="S361" si="961">SUM(S359:S360)</f>
        <v>0.23200000000316037</v>
      </c>
      <c r="T361" s="300">
        <f t="shared" si="952"/>
        <v>10.703999999983957</v>
      </c>
      <c r="U361" s="300"/>
      <c r="V361" s="300">
        <f>SUM(V359:V360)</f>
        <v>8.6779999999488595</v>
      </c>
      <c r="W361" s="300">
        <f t="shared" ref="W361" si="962">SUM(W359:W360)</f>
        <v>1.3730000000046574</v>
      </c>
      <c r="X361" s="300">
        <f t="shared" ref="X361" si="963">SUM(X359:X360)</f>
        <v>0.20100000000157414</v>
      </c>
      <c r="Y361" s="300">
        <f t="shared" si="953"/>
        <v>10.251999999955091</v>
      </c>
    </row>
    <row r="362" spans="1:25" x14ac:dyDescent="0.2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x14ac:dyDescent="0.2">
      <c r="A363" s="261" t="str">
        <f>name!A52</f>
        <v>Auxiliary financial services</v>
      </c>
      <c r="C363" s="263"/>
    </row>
    <row r="364" spans="1:25" x14ac:dyDescent="0.2">
      <c r="A364" s="260" t="s">
        <v>356</v>
      </c>
      <c r="B364" s="300">
        <v>14.101999999931966</v>
      </c>
      <c r="C364" s="300">
        <v>3.2589999999870729</v>
      </c>
      <c r="D364" s="300">
        <v>0</v>
      </c>
      <c r="E364" s="300">
        <f>SUM(B364:D364)</f>
        <v>17.360999999919038</v>
      </c>
      <c r="F364" s="300"/>
      <c r="G364" s="300">
        <v>11.484999999775246</v>
      </c>
      <c r="H364" s="300">
        <v>3.6460000000285513</v>
      </c>
      <c r="I364" s="300">
        <v>0.86100000000771626</v>
      </c>
      <c r="J364" s="300">
        <f>SUM(G364:I364)</f>
        <v>15.991999999811515</v>
      </c>
      <c r="K364" s="300"/>
      <c r="L364" s="300">
        <v>13.776999999795631</v>
      </c>
      <c r="M364" s="300">
        <v>3.9760000000234625</v>
      </c>
      <c r="N364" s="300">
        <v>0.47299999999431225</v>
      </c>
      <c r="O364" s="300">
        <f>SUM(L364:N364)</f>
        <v>18.225999999813403</v>
      </c>
      <c r="P364" s="300"/>
      <c r="Q364" s="300">
        <v>13.730000000103646</v>
      </c>
      <c r="R364" s="300">
        <v>3.9200000000429092</v>
      </c>
      <c r="S364" s="300">
        <v>0.5129999999979471</v>
      </c>
      <c r="T364" s="300">
        <f>SUM(Q364:S364)</f>
        <v>18.163000000144503</v>
      </c>
      <c r="U364" s="300"/>
      <c r="V364" s="300">
        <v>13.159000000135835</v>
      </c>
      <c r="W364" s="300">
        <v>3.7220000000019402</v>
      </c>
      <c r="X364" s="300">
        <v>0.51000000000126466</v>
      </c>
      <c r="Y364" s="300">
        <f>SUM(V364:X364)</f>
        <v>17.391000000139041</v>
      </c>
    </row>
    <row r="365" spans="1:25" x14ac:dyDescent="0.2">
      <c r="A365" s="260" t="s">
        <v>355</v>
      </c>
      <c r="B365" s="300">
        <v>15.761999999842416</v>
      </c>
      <c r="C365" s="300">
        <v>0.81100000000030692</v>
      </c>
      <c r="D365" s="300">
        <v>2.3570000000225955</v>
      </c>
      <c r="E365" s="300">
        <f t="shared" ref="E365:E366" si="964">SUM(B365:D365)</f>
        <v>18.929999999865316</v>
      </c>
      <c r="F365" s="300"/>
      <c r="G365" s="300">
        <v>13.198999999873344</v>
      </c>
      <c r="H365" s="300">
        <v>0.61800000000151389</v>
      </c>
      <c r="I365" s="300">
        <v>2.3849999999863827</v>
      </c>
      <c r="J365" s="300">
        <f t="shared" ref="J365:J366" si="965">SUM(G365:I365)</f>
        <v>16.20199999986124</v>
      </c>
      <c r="K365" s="300"/>
      <c r="L365" s="300">
        <v>15.98899999969391</v>
      </c>
      <c r="M365" s="300">
        <v>0.53200000000139835</v>
      </c>
      <c r="N365" s="300">
        <v>1.2070000000050851</v>
      </c>
      <c r="O365" s="300">
        <f t="shared" ref="O365:O366" si="966">SUM(L365:N365)</f>
        <v>17.727999999700394</v>
      </c>
      <c r="P365" s="300"/>
      <c r="Q365" s="300">
        <v>16.002999999802405</v>
      </c>
      <c r="R365" s="300">
        <v>0.55400000000280503</v>
      </c>
      <c r="S365" s="300">
        <v>1.3120000000446284</v>
      </c>
      <c r="T365" s="300">
        <f t="shared" ref="T365:T366" si="967">SUM(Q365:S365)</f>
        <v>17.868999999849837</v>
      </c>
      <c r="U365" s="300"/>
      <c r="V365" s="300">
        <v>15.386999999661384</v>
      </c>
      <c r="W365" s="300">
        <v>0.5700000000063119</v>
      </c>
      <c r="X365" s="300">
        <v>1.3380000000281058</v>
      </c>
      <c r="Y365" s="300">
        <f t="shared" ref="Y365:Y366" si="968">SUM(V365:X365)</f>
        <v>17.294999999695801</v>
      </c>
    </row>
    <row r="366" spans="1:25" x14ac:dyDescent="0.2">
      <c r="A366" s="260" t="s">
        <v>354</v>
      </c>
      <c r="B366" s="300">
        <f>SUM(B364:B365)</f>
        <v>29.863999999774382</v>
      </c>
      <c r="C366" s="300">
        <f t="shared" ref="C366" si="969">SUM(C364:C365)</f>
        <v>4.0699999999873802</v>
      </c>
      <c r="D366" s="300">
        <f t="shared" ref="D366" si="970">SUM(D364:D365)</f>
        <v>2.3570000000225955</v>
      </c>
      <c r="E366" s="300">
        <f t="shared" si="964"/>
        <v>36.290999999784354</v>
      </c>
      <c r="F366" s="300"/>
      <c r="G366" s="300">
        <f>SUM(G364:G365)</f>
        <v>24.683999999648591</v>
      </c>
      <c r="H366" s="300">
        <f t="shared" ref="H366" si="971">SUM(H364:H365)</f>
        <v>4.2640000000300651</v>
      </c>
      <c r="I366" s="300">
        <f t="shared" ref="I366" si="972">SUM(I364:I365)</f>
        <v>3.2459999999940989</v>
      </c>
      <c r="J366" s="300">
        <f t="shared" si="965"/>
        <v>32.193999999672755</v>
      </c>
      <c r="K366" s="300"/>
      <c r="L366" s="300">
        <f>SUM(L364:L365)</f>
        <v>29.765999999489541</v>
      </c>
      <c r="M366" s="300">
        <f t="shared" ref="M366" si="973">SUM(M364:M365)</f>
        <v>4.508000000024861</v>
      </c>
      <c r="N366" s="300">
        <f t="shared" ref="N366" si="974">SUM(N364:N365)</f>
        <v>1.6799999999993973</v>
      </c>
      <c r="O366" s="300">
        <f t="shared" si="966"/>
        <v>35.953999999513798</v>
      </c>
      <c r="P366" s="300"/>
      <c r="Q366" s="300">
        <f>SUM(Q364:Q365)</f>
        <v>29.732999999906049</v>
      </c>
      <c r="R366" s="300">
        <f t="shared" ref="R366" si="975">SUM(R364:R365)</f>
        <v>4.4740000000457139</v>
      </c>
      <c r="S366" s="300">
        <f t="shared" ref="S366" si="976">SUM(S364:S365)</f>
        <v>1.8250000000425755</v>
      </c>
      <c r="T366" s="300">
        <f t="shared" si="967"/>
        <v>36.031999999994341</v>
      </c>
      <c r="U366" s="300"/>
      <c r="V366" s="300">
        <f>SUM(V364:V365)</f>
        <v>28.545999999797218</v>
      </c>
      <c r="W366" s="300">
        <f t="shared" ref="W366" si="977">SUM(W364:W365)</f>
        <v>4.2920000000082519</v>
      </c>
      <c r="X366" s="300">
        <f t="shared" ref="X366" si="978">SUM(X364:X365)</f>
        <v>1.8480000000293706</v>
      </c>
      <c r="Y366" s="300">
        <f t="shared" si="968"/>
        <v>34.685999999834841</v>
      </c>
    </row>
    <row r="367" spans="1:25" x14ac:dyDescent="0.2">
      <c r="C367" s="263"/>
    </row>
    <row r="368" spans="1:25" x14ac:dyDescent="0.2">
      <c r="A368" s="261" t="s">
        <v>362</v>
      </c>
      <c r="C368" s="263"/>
    </row>
    <row r="369" spans="1:25" x14ac:dyDescent="0.2">
      <c r="A369" s="260" t="s">
        <v>356</v>
      </c>
      <c r="B369" s="300">
        <f>SUM(B354,B359,B364)</f>
        <v>30.733999999849473</v>
      </c>
      <c r="C369" s="300">
        <f t="shared" ref="C369:D369" si="979">SUM(C354,C359,C364)</f>
        <v>11.702999999959406</v>
      </c>
      <c r="D369" s="300">
        <f t="shared" si="979"/>
        <v>0</v>
      </c>
      <c r="E369" s="300">
        <f>SUM(B369:D369)</f>
        <v>42.436999999808876</v>
      </c>
      <c r="F369" s="300"/>
      <c r="G369" s="300">
        <f>SUM(G354,G359,G364)</f>
        <v>26.052999999514128</v>
      </c>
      <c r="H369" s="300">
        <f t="shared" ref="H369:I369" si="980">SUM(H354,H359,H364)</f>
        <v>10.74500000009731</v>
      </c>
      <c r="I369" s="300">
        <f t="shared" si="980"/>
        <v>1.1930000000134826</v>
      </c>
      <c r="J369" s="300">
        <f>SUM(G369:I369)</f>
        <v>37.990999999624918</v>
      </c>
      <c r="K369" s="300"/>
      <c r="L369" s="300">
        <f>SUM(L354,L359,L364)</f>
        <v>31.249999999556444</v>
      </c>
      <c r="M369" s="300">
        <f t="shared" ref="M369:N369" si="981">SUM(M354,M359,M364)</f>
        <v>11.717000000083988</v>
      </c>
      <c r="N369" s="300">
        <f t="shared" si="981"/>
        <v>0.70999999999045915</v>
      </c>
      <c r="O369" s="300">
        <f>SUM(L369:N369)</f>
        <v>43.676999999630894</v>
      </c>
      <c r="P369" s="300"/>
      <c r="Q369" s="300">
        <f>SUM(Q354,Q359,Q364)</f>
        <v>31.145000000250612</v>
      </c>
      <c r="R369" s="300">
        <f t="shared" ref="R369:S369" si="982">SUM(R354,R359,R364)</f>
        <v>11.552000000159765</v>
      </c>
      <c r="S369" s="300">
        <f t="shared" si="982"/>
        <v>0.73999999999818333</v>
      </c>
      <c r="T369" s="300">
        <f>SUM(Q369:S369)</f>
        <v>43.43700000040856</v>
      </c>
      <c r="U369" s="300"/>
      <c r="V369" s="300">
        <f>SUM(V354,V359,V364)</f>
        <v>29.849000000298112</v>
      </c>
      <c r="W369" s="300">
        <f t="shared" ref="W369:X369" si="983">SUM(W354,W359,W364)</f>
        <v>10.968999999999342</v>
      </c>
      <c r="X369" s="300">
        <f t="shared" si="983"/>
        <v>0.72300000000108811</v>
      </c>
      <c r="Y369" s="300">
        <f>SUM(V369:X369)</f>
        <v>41.541000000298538</v>
      </c>
    </row>
    <row r="370" spans="1:25" x14ac:dyDescent="0.2">
      <c r="A370" s="260" t="s">
        <v>355</v>
      </c>
      <c r="B370" s="300">
        <f>SUM(B355,B360,B365)</f>
        <v>37.120999999638862</v>
      </c>
      <c r="C370" s="300">
        <f t="shared" ref="C370:D370" si="984">SUM(C355,C360,C365)</f>
        <v>2.3210000000016744</v>
      </c>
      <c r="D370" s="300">
        <f t="shared" si="984"/>
        <v>5.4040000000645687</v>
      </c>
      <c r="E370" s="300">
        <f t="shared" ref="E370:E371" si="985">SUM(B370:D370)</f>
        <v>44.845999999705107</v>
      </c>
      <c r="F370" s="300"/>
      <c r="G370" s="300">
        <f>SUM(G355,G360,G365)</f>
        <v>32.397999999699294</v>
      </c>
      <c r="H370" s="300">
        <f t="shared" ref="H370:I370" si="986">SUM(H355,H360,H365)</f>
        <v>1.4940000000042426</v>
      </c>
      <c r="I370" s="300">
        <f t="shared" si="986"/>
        <v>5.4639999999819793</v>
      </c>
      <c r="J370" s="300">
        <f t="shared" ref="J370:J371" si="987">SUM(G370:I370)</f>
        <v>39.355999999685515</v>
      </c>
      <c r="K370" s="300"/>
      <c r="L370" s="300">
        <f>SUM(L355,L360,L365)</f>
        <v>39.247999999272515</v>
      </c>
      <c r="M370" s="300">
        <f t="shared" ref="M370:N370" si="988">SUM(M355,M360,M365)</f>
        <v>1.2850000000059194</v>
      </c>
      <c r="N370" s="300">
        <f t="shared" si="988"/>
        <v>2.0570000000074868</v>
      </c>
      <c r="O370" s="300">
        <f t="shared" ref="O370:O371" si="989">SUM(L370:N370)</f>
        <v>42.589999999285922</v>
      </c>
      <c r="P370" s="300"/>
      <c r="Q370" s="300">
        <f>SUM(Q355,Q360,Q365)</f>
        <v>39.280999999537414</v>
      </c>
      <c r="R370" s="300">
        <f t="shared" ref="R370:S370" si="990">SUM(R355,R360,R365)</f>
        <v>1.339000000008814</v>
      </c>
      <c r="S370" s="300">
        <f t="shared" si="990"/>
        <v>2.1630000000716141</v>
      </c>
      <c r="T370" s="300">
        <f t="shared" ref="T370:T371" si="991">SUM(Q370:S370)</f>
        <v>42.782999999617843</v>
      </c>
      <c r="U370" s="300"/>
      <c r="V370" s="300">
        <f>SUM(V355,V360,V365)</f>
        <v>37.768999999204759</v>
      </c>
      <c r="W370" s="300">
        <f t="shared" ref="W370:X370" si="992">SUM(W355,W360,W365)</f>
        <v>1.3770000000199913</v>
      </c>
      <c r="X370" s="300">
        <f t="shared" si="992"/>
        <v>2.1630000000433873</v>
      </c>
      <c r="Y370" s="300">
        <f t="shared" ref="Y370:Y371" si="993">SUM(V370:X370)</f>
        <v>41.308999999268138</v>
      </c>
    </row>
    <row r="371" spans="1:25" x14ac:dyDescent="0.2">
      <c r="A371" s="264" t="s">
        <v>354</v>
      </c>
      <c r="B371" s="301">
        <f>SUM(B369:B370)</f>
        <v>67.854999999488342</v>
      </c>
      <c r="C371" s="301">
        <f t="shared" ref="C371" si="994">SUM(C369:C370)</f>
        <v>14.023999999961081</v>
      </c>
      <c r="D371" s="301">
        <f t="shared" ref="D371" si="995">SUM(D369:D370)</f>
        <v>5.4040000000645687</v>
      </c>
      <c r="E371" s="301">
        <f t="shared" si="985"/>
        <v>87.28299999951399</v>
      </c>
      <c r="F371" s="301"/>
      <c r="G371" s="301">
        <f>SUM(G369:G370)</f>
        <v>58.450999999213423</v>
      </c>
      <c r="H371" s="301">
        <f t="shared" ref="H371" si="996">SUM(H369:H370)</f>
        <v>12.239000000101552</v>
      </c>
      <c r="I371" s="301">
        <f t="shared" ref="I371" si="997">SUM(I369:I370)</f>
        <v>6.6569999999954614</v>
      </c>
      <c r="J371" s="301">
        <f t="shared" si="987"/>
        <v>77.346999999310441</v>
      </c>
      <c r="K371" s="301"/>
      <c r="L371" s="301">
        <f>SUM(L369:L370)</f>
        <v>70.497999998828959</v>
      </c>
      <c r="M371" s="301">
        <f t="shared" ref="M371" si="998">SUM(M369:M370)</f>
        <v>13.002000000089907</v>
      </c>
      <c r="N371" s="301">
        <f t="shared" ref="N371" si="999">SUM(N369:N370)</f>
        <v>2.766999999997946</v>
      </c>
      <c r="O371" s="301">
        <f t="shared" si="989"/>
        <v>86.266999998916816</v>
      </c>
      <c r="P371" s="301"/>
      <c r="Q371" s="301">
        <f>SUM(Q369:Q370)</f>
        <v>70.425999999788019</v>
      </c>
      <c r="R371" s="301">
        <f t="shared" ref="R371" si="1000">SUM(R369:R370)</f>
        <v>12.89100000016858</v>
      </c>
      <c r="S371" s="301">
        <f t="shared" ref="S371" si="1001">SUM(S369:S370)</f>
        <v>2.9030000000697975</v>
      </c>
      <c r="T371" s="301">
        <f t="shared" si="991"/>
        <v>86.220000000026388</v>
      </c>
      <c r="U371" s="301"/>
      <c r="V371" s="301">
        <f>SUM(V369:V370)</f>
        <v>67.617999999502871</v>
      </c>
      <c r="W371" s="301">
        <f t="shared" ref="W371" si="1002">SUM(W369:W370)</f>
        <v>12.346000000019334</v>
      </c>
      <c r="X371" s="301">
        <f t="shared" ref="X371" si="1003">SUM(X369:X370)</f>
        <v>2.8860000000444757</v>
      </c>
      <c r="Y371" s="301">
        <f t="shared" si="993"/>
        <v>82.849999999566677</v>
      </c>
    </row>
    <row r="375" spans="1:25" ht="15" x14ac:dyDescent="0.25">
      <c r="A375" s="265" t="str">
        <f>"Industry 15 : "&amp; name!B18</f>
        <v>Industry 15 : Real estate</v>
      </c>
      <c r="B375" s="371">
        <f>$B$5</f>
        <v>2015</v>
      </c>
      <c r="C375" s="371"/>
      <c r="D375" s="371"/>
      <c r="E375" s="371"/>
      <c r="F375" s="320"/>
      <c r="G375" s="371">
        <f>$G$5</f>
        <v>2019</v>
      </c>
      <c r="H375" s="371"/>
      <c r="I375" s="371"/>
      <c r="J375" s="371"/>
      <c r="K375" s="320"/>
      <c r="L375" s="371">
        <f>$L$5</f>
        <v>2020</v>
      </c>
      <c r="M375" s="371"/>
      <c r="N375" s="371"/>
      <c r="O375" s="371"/>
      <c r="P375" s="318"/>
      <c r="Q375" s="371">
        <f>$Q$5</f>
        <v>2025</v>
      </c>
      <c r="R375" s="371"/>
      <c r="S375" s="371"/>
      <c r="T375" s="371"/>
      <c r="U375" s="320"/>
      <c r="V375" s="371">
        <f>$V$5</f>
        <v>2035</v>
      </c>
      <c r="W375" s="371"/>
      <c r="X375" s="371"/>
      <c r="Y375" s="371"/>
    </row>
    <row r="376" spans="1:25" x14ac:dyDescent="0.2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x14ac:dyDescent="0.2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x14ac:dyDescent="0.2">
      <c r="A378" s="261" t="str">
        <f>name!A53</f>
        <v>Real estate</v>
      </c>
      <c r="C378" s="263"/>
    </row>
    <row r="379" spans="1:25" x14ac:dyDescent="0.2">
      <c r="A379" s="260" t="s">
        <v>356</v>
      </c>
      <c r="B379" s="300">
        <v>12.202999999919323</v>
      </c>
      <c r="C379" s="300">
        <v>11.232999999995663</v>
      </c>
      <c r="D379" s="300">
        <v>5.0200000000915486</v>
      </c>
      <c r="E379" s="300">
        <f>SUM(B379:D379)</f>
        <v>28.456000000006533</v>
      </c>
      <c r="F379" s="300"/>
      <c r="G379" s="300">
        <v>12.357999999908332</v>
      </c>
      <c r="H379" s="300">
        <v>11.83000000014045</v>
      </c>
      <c r="I379" s="300">
        <v>6.1580000000512429</v>
      </c>
      <c r="J379" s="300">
        <f>SUM(G379:I379)</f>
        <v>30.346000000100023</v>
      </c>
      <c r="K379" s="300"/>
      <c r="L379" s="300">
        <v>22.638999999856836</v>
      </c>
      <c r="M379" s="300">
        <v>6.934000000067905</v>
      </c>
      <c r="N379" s="300">
        <v>2.6129999999511351</v>
      </c>
      <c r="O379" s="300">
        <f>SUM(L379:N379)</f>
        <v>32.185999999875875</v>
      </c>
      <c r="P379" s="300"/>
      <c r="Q379" s="300">
        <v>20.776000000358788</v>
      </c>
      <c r="R379" s="300">
        <v>5.877000000135749</v>
      </c>
      <c r="S379" s="300">
        <v>2.3479999999873562</v>
      </c>
      <c r="T379" s="300">
        <f>SUM(Q379:S379)</f>
        <v>29.001000000481891</v>
      </c>
      <c r="U379" s="300"/>
      <c r="V379" s="300">
        <v>21.782999999966073</v>
      </c>
      <c r="W379" s="300">
        <v>5.2679999999661566</v>
      </c>
      <c r="X379" s="300">
        <v>2.3159999999967567</v>
      </c>
      <c r="Y379" s="300">
        <f>SUM(V379:X379)</f>
        <v>29.366999999928986</v>
      </c>
    </row>
    <row r="380" spans="1:25" x14ac:dyDescent="0.2">
      <c r="A380" s="260" t="s">
        <v>355</v>
      </c>
      <c r="B380" s="300">
        <v>12.57599999990974</v>
      </c>
      <c r="C380" s="300">
        <v>2.5309999999876043</v>
      </c>
      <c r="D380" s="300">
        <v>7.6479999999777455</v>
      </c>
      <c r="E380" s="300">
        <f t="shared" ref="E380:E381" si="1004">SUM(B380:D380)</f>
        <v>22.754999999875089</v>
      </c>
      <c r="F380" s="300"/>
      <c r="G380" s="300">
        <v>15.166999999911441</v>
      </c>
      <c r="H380" s="300">
        <v>2.6699999999913371</v>
      </c>
      <c r="I380" s="300">
        <v>7.3710000000778138</v>
      </c>
      <c r="J380" s="300">
        <f t="shared" ref="J380:J381" si="1005">SUM(G380:I380)</f>
        <v>25.207999999980593</v>
      </c>
      <c r="K380" s="300"/>
      <c r="L380" s="300">
        <v>18.243999999812093</v>
      </c>
      <c r="M380" s="300">
        <v>1.7619999999858071</v>
      </c>
      <c r="N380" s="300">
        <v>5.4320000000215654</v>
      </c>
      <c r="O380" s="300">
        <f t="shared" ref="O380:O381" si="1006">SUM(L380:N380)</f>
        <v>25.437999999819468</v>
      </c>
      <c r="P380" s="300"/>
      <c r="Q380" s="300">
        <v>16.154999999929313</v>
      </c>
      <c r="R380" s="300">
        <v>1.5639999999912886</v>
      </c>
      <c r="S380" s="300">
        <v>5.0619999999890304</v>
      </c>
      <c r="T380" s="300">
        <f t="shared" ref="T380:T381" si="1007">SUM(Q380:S380)</f>
        <v>22.780999999909632</v>
      </c>
      <c r="U380" s="300"/>
      <c r="V380" s="300">
        <v>15.812999999880288</v>
      </c>
      <c r="W380" s="300">
        <v>1.5589999999843347</v>
      </c>
      <c r="X380" s="300">
        <v>5.3840000000074015</v>
      </c>
      <c r="Y380" s="300">
        <f t="shared" ref="Y380:Y381" si="1008">SUM(V380:X380)</f>
        <v>22.755999999872024</v>
      </c>
    </row>
    <row r="381" spans="1:25" x14ac:dyDescent="0.2">
      <c r="A381" s="264" t="s">
        <v>354</v>
      </c>
      <c r="B381" s="301">
        <f>SUM(B379:B380)</f>
        <v>24.778999999829061</v>
      </c>
      <c r="C381" s="301">
        <f t="shared" ref="C381" si="1009">SUM(C379:C380)</f>
        <v>13.763999999983266</v>
      </c>
      <c r="D381" s="301">
        <f t="shared" ref="D381" si="1010">SUM(D379:D380)</f>
        <v>12.668000000069295</v>
      </c>
      <c r="E381" s="301">
        <f t="shared" si="1004"/>
        <v>51.210999999881622</v>
      </c>
      <c r="F381" s="301"/>
      <c r="G381" s="301">
        <f>SUM(G379:G380)</f>
        <v>27.524999999819773</v>
      </c>
      <c r="H381" s="301">
        <f t="shared" ref="H381" si="1011">SUM(H379:H380)</f>
        <v>14.500000000131786</v>
      </c>
      <c r="I381" s="301">
        <f t="shared" ref="I381" si="1012">SUM(I379:I380)</f>
        <v>13.529000000129056</v>
      </c>
      <c r="J381" s="301">
        <f t="shared" si="1005"/>
        <v>55.55400000008062</v>
      </c>
      <c r="K381" s="301"/>
      <c r="L381" s="301">
        <f>SUM(L379:L380)</f>
        <v>40.882999999668925</v>
      </c>
      <c r="M381" s="301">
        <f t="shared" ref="M381" si="1013">SUM(M379:M380)</f>
        <v>8.6960000000537114</v>
      </c>
      <c r="N381" s="301">
        <f t="shared" ref="N381" si="1014">SUM(N379:N380)</f>
        <v>8.0449999999727009</v>
      </c>
      <c r="O381" s="301">
        <f t="shared" si="1006"/>
        <v>57.623999999695343</v>
      </c>
      <c r="P381" s="301"/>
      <c r="Q381" s="301">
        <f>SUM(Q379:Q380)</f>
        <v>36.931000000288101</v>
      </c>
      <c r="R381" s="301">
        <f t="shared" ref="R381" si="1015">SUM(R379:R380)</f>
        <v>7.4410000001270378</v>
      </c>
      <c r="S381" s="301">
        <f t="shared" ref="S381" si="1016">SUM(S379:S380)</f>
        <v>7.409999999976387</v>
      </c>
      <c r="T381" s="301">
        <f t="shared" si="1007"/>
        <v>51.782000000391527</v>
      </c>
      <c r="U381" s="301"/>
      <c r="V381" s="301">
        <f>SUM(V379:V380)</f>
        <v>37.595999999846363</v>
      </c>
      <c r="W381" s="301">
        <f t="shared" ref="W381" si="1017">SUM(W379:W380)</f>
        <v>6.8269999999504911</v>
      </c>
      <c r="X381" s="301">
        <f t="shared" ref="X381" si="1018">SUM(X379:X380)</f>
        <v>7.7000000000041577</v>
      </c>
      <c r="Y381" s="301">
        <f t="shared" si="1008"/>
        <v>52.122999999801017</v>
      </c>
    </row>
    <row r="382" spans="1:25" x14ac:dyDescent="0.2">
      <c r="C382" s="263"/>
    </row>
    <row r="383" spans="1:25" x14ac:dyDescent="0.2">
      <c r="A383" s="261"/>
    </row>
    <row r="384" spans="1:25" x14ac:dyDescent="0.2">
      <c r="C384" s="263"/>
    </row>
    <row r="385" spans="1:25" ht="15" x14ac:dyDescent="0.25">
      <c r="A385" s="265" t="str">
        <f>"Industry 16 : "&amp; name!B19</f>
        <v>Industry 16 : Professional services</v>
      </c>
      <c r="B385" s="371">
        <f>$B$5</f>
        <v>2015</v>
      </c>
      <c r="C385" s="371"/>
      <c r="D385" s="371"/>
      <c r="E385" s="371"/>
      <c r="F385" s="320"/>
      <c r="G385" s="371">
        <f>$G$5</f>
        <v>2019</v>
      </c>
      <c r="H385" s="371"/>
      <c r="I385" s="371"/>
      <c r="J385" s="371"/>
      <c r="K385" s="320"/>
      <c r="L385" s="371">
        <f>$L$5</f>
        <v>2020</v>
      </c>
      <c r="M385" s="371"/>
      <c r="N385" s="371"/>
      <c r="O385" s="371"/>
      <c r="P385" s="318"/>
      <c r="Q385" s="371">
        <f>$Q$5</f>
        <v>2025</v>
      </c>
      <c r="R385" s="371"/>
      <c r="S385" s="371"/>
      <c r="T385" s="371"/>
      <c r="U385" s="320"/>
      <c r="V385" s="371">
        <f>$V$5</f>
        <v>2035</v>
      </c>
      <c r="W385" s="371"/>
      <c r="X385" s="371"/>
      <c r="Y385" s="371"/>
    </row>
    <row r="386" spans="1:25" x14ac:dyDescent="0.2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x14ac:dyDescent="0.2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x14ac:dyDescent="0.2">
      <c r="A388" s="261" t="str">
        <f>name!A54</f>
        <v>Legal and accounting</v>
      </c>
      <c r="C388" s="263"/>
    </row>
    <row r="389" spans="1:25" x14ac:dyDescent="0.2">
      <c r="A389" s="260" t="s">
        <v>356</v>
      </c>
      <c r="B389" s="300">
        <v>18.227000000057355</v>
      </c>
      <c r="C389" s="300">
        <v>9.1890000000169163</v>
      </c>
      <c r="D389" s="300">
        <v>6.934000000183917</v>
      </c>
      <c r="E389" s="300">
        <f>SUM(B389:D389)</f>
        <v>34.350000000258184</v>
      </c>
      <c r="F389" s="300"/>
      <c r="G389" s="300">
        <v>25.311999999215558</v>
      </c>
      <c r="H389" s="300">
        <v>10.799999999923047</v>
      </c>
      <c r="I389" s="300">
        <v>7.6369999999101834</v>
      </c>
      <c r="J389" s="300">
        <f>SUM(G389:I389)</f>
        <v>43.748999999048785</v>
      </c>
      <c r="K389" s="300"/>
      <c r="L389" s="300">
        <v>26.642999999423875</v>
      </c>
      <c r="M389" s="300">
        <v>12.966999999929973</v>
      </c>
      <c r="N389" s="300">
        <v>9.9589999997057301</v>
      </c>
      <c r="O389" s="300">
        <f>SUM(L389:N389)</f>
        <v>49.568999999059578</v>
      </c>
      <c r="P389" s="300"/>
      <c r="Q389" s="300">
        <v>27.277999999876847</v>
      </c>
      <c r="R389" s="300">
        <v>13.514999999856315</v>
      </c>
      <c r="S389" s="300">
        <v>10.262999999681281</v>
      </c>
      <c r="T389" s="300">
        <f>SUM(Q389:S389)</f>
        <v>51.055999999414439</v>
      </c>
      <c r="U389" s="300"/>
      <c r="V389" s="300">
        <v>27.571000000358467</v>
      </c>
      <c r="W389" s="300">
        <v>14.141000000137508</v>
      </c>
      <c r="X389" s="300">
        <v>10.493000000153737</v>
      </c>
      <c r="Y389" s="300">
        <f>SUM(V389:X389)</f>
        <v>52.205000000649711</v>
      </c>
    </row>
    <row r="390" spans="1:25" x14ac:dyDescent="0.2">
      <c r="A390" s="260" t="s">
        <v>355</v>
      </c>
      <c r="B390" s="300">
        <v>15.21899999975596</v>
      </c>
      <c r="C390" s="300">
        <v>3.0909999999752364</v>
      </c>
      <c r="D390" s="300">
        <v>8.1480000001156672</v>
      </c>
      <c r="E390" s="300">
        <f t="shared" ref="E390:E391" si="1019">SUM(B390:D390)</f>
        <v>26.457999999846862</v>
      </c>
      <c r="F390" s="300"/>
      <c r="G390" s="300">
        <v>20.099999999708519</v>
      </c>
      <c r="H390" s="300">
        <v>2.8989999999797513</v>
      </c>
      <c r="I390" s="300">
        <v>10.789999999946577</v>
      </c>
      <c r="J390" s="300">
        <f t="shared" ref="J390:J391" si="1020">SUM(G390:I390)</f>
        <v>33.788999999634846</v>
      </c>
      <c r="K390" s="300"/>
      <c r="L390" s="300">
        <v>17.484999999500801</v>
      </c>
      <c r="M390" s="300">
        <v>4.2809999999734378</v>
      </c>
      <c r="N390" s="300">
        <v>5.6759999999911077</v>
      </c>
      <c r="O390" s="300">
        <f t="shared" ref="O390:O391" si="1021">SUM(L390:N390)</f>
        <v>27.441999999465345</v>
      </c>
      <c r="P390" s="300"/>
      <c r="Q390" s="300">
        <v>18.278999999666112</v>
      </c>
      <c r="R390" s="300">
        <v>4.5579999999793692</v>
      </c>
      <c r="S390" s="300">
        <v>5.8300000002322285</v>
      </c>
      <c r="T390" s="300">
        <f t="shared" ref="T390:T391" si="1022">SUM(Q390:S390)</f>
        <v>28.66699999987771</v>
      </c>
      <c r="U390" s="300"/>
      <c r="V390" s="300">
        <v>19.294999999445096</v>
      </c>
      <c r="W390" s="300">
        <v>4.9759999999745794</v>
      </c>
      <c r="X390" s="300">
        <v>5.9250000001068406</v>
      </c>
      <c r="Y390" s="300">
        <f t="shared" ref="Y390:Y391" si="1023">SUM(V390:X390)</f>
        <v>30.195999999526517</v>
      </c>
    </row>
    <row r="391" spans="1:25" x14ac:dyDescent="0.2">
      <c r="A391" s="260" t="s">
        <v>354</v>
      </c>
      <c r="B391" s="300">
        <f>SUM(B389:B390)</f>
        <v>33.445999999813317</v>
      </c>
      <c r="C391" s="300">
        <f t="shared" ref="C391" si="1024">SUM(C389:C390)</f>
        <v>12.279999999992153</v>
      </c>
      <c r="D391" s="300">
        <f t="shared" ref="D391" si="1025">SUM(D389:D390)</f>
        <v>15.082000000299583</v>
      </c>
      <c r="E391" s="300">
        <f t="shared" si="1019"/>
        <v>60.808000000105054</v>
      </c>
      <c r="F391" s="300"/>
      <c r="G391" s="300">
        <f>SUM(G389:G390)</f>
        <v>45.411999998924074</v>
      </c>
      <c r="H391" s="300">
        <f t="shared" ref="H391" si="1026">SUM(H389:H390)</f>
        <v>13.698999999902799</v>
      </c>
      <c r="I391" s="300">
        <f t="shared" ref="I391" si="1027">SUM(I389:I390)</f>
        <v>18.426999999856761</v>
      </c>
      <c r="J391" s="300">
        <f t="shared" si="1020"/>
        <v>77.537999998683631</v>
      </c>
      <c r="K391" s="300"/>
      <c r="L391" s="300">
        <f>SUM(L389:L390)</f>
        <v>44.127999998924679</v>
      </c>
      <c r="M391" s="300">
        <f t="shared" ref="M391" si="1028">SUM(M389:M390)</f>
        <v>17.24799999990341</v>
      </c>
      <c r="N391" s="300">
        <f t="shared" ref="N391" si="1029">SUM(N389:N390)</f>
        <v>15.634999999696838</v>
      </c>
      <c r="O391" s="300">
        <f t="shared" si="1021"/>
        <v>77.010999998524937</v>
      </c>
      <c r="P391" s="300"/>
      <c r="Q391" s="300">
        <f>SUM(Q389:Q390)</f>
        <v>45.55699999954296</v>
      </c>
      <c r="R391" s="300">
        <f t="shared" ref="R391" si="1030">SUM(R389:R390)</f>
        <v>18.072999999835684</v>
      </c>
      <c r="S391" s="300">
        <f t="shared" ref="S391" si="1031">SUM(S389:S390)</f>
        <v>16.092999999913509</v>
      </c>
      <c r="T391" s="300">
        <f t="shared" si="1022"/>
        <v>79.722999999292142</v>
      </c>
      <c r="U391" s="300"/>
      <c r="V391" s="300">
        <f>SUM(V389:V390)</f>
        <v>46.865999999803563</v>
      </c>
      <c r="W391" s="300">
        <f t="shared" ref="W391" si="1032">SUM(W389:W390)</f>
        <v>19.117000000112085</v>
      </c>
      <c r="X391" s="300">
        <f t="shared" ref="X391" si="1033">SUM(X389:X390)</f>
        <v>16.418000000260577</v>
      </c>
      <c r="Y391" s="300">
        <f t="shared" si="1023"/>
        <v>82.401000000176225</v>
      </c>
    </row>
    <row r="392" spans="1:25" x14ac:dyDescent="0.2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x14ac:dyDescent="0.2">
      <c r="A393" s="261" t="str">
        <f>name!A55</f>
        <v>Head offices, etc</v>
      </c>
      <c r="C393" s="263"/>
    </row>
    <row r="394" spans="1:25" x14ac:dyDescent="0.2">
      <c r="A394" s="260" t="s">
        <v>356</v>
      </c>
      <c r="B394" s="300">
        <v>9.0840000000285706</v>
      </c>
      <c r="C394" s="300">
        <v>9.0310000000166255</v>
      </c>
      <c r="D394" s="300">
        <v>3.986000000105725</v>
      </c>
      <c r="E394" s="300">
        <f>SUM(B394:D394)</f>
        <v>22.101000000150922</v>
      </c>
      <c r="F394" s="300"/>
      <c r="G394" s="300">
        <v>13.398999999584744</v>
      </c>
      <c r="H394" s="300">
        <v>10.692999999923815</v>
      </c>
      <c r="I394" s="300">
        <v>3.9019999999541106</v>
      </c>
      <c r="J394" s="300">
        <f>SUM(G394:I394)</f>
        <v>27.99399999946267</v>
      </c>
      <c r="K394" s="300"/>
      <c r="L394" s="300">
        <v>13.856999999700355</v>
      </c>
      <c r="M394" s="300">
        <v>11.652999999937082</v>
      </c>
      <c r="N394" s="300">
        <v>5.3559999998417434</v>
      </c>
      <c r="O394" s="300">
        <f>SUM(L394:N394)</f>
        <v>30.865999999479179</v>
      </c>
      <c r="P394" s="300"/>
      <c r="Q394" s="300">
        <v>14.273999999935555</v>
      </c>
      <c r="R394" s="300">
        <v>12.114999999871207</v>
      </c>
      <c r="S394" s="300">
        <v>5.2789999998360688</v>
      </c>
      <c r="T394" s="300">
        <f>SUM(Q394:S394)</f>
        <v>31.667999999642831</v>
      </c>
      <c r="U394" s="300"/>
      <c r="V394" s="300">
        <v>14.945000000194312</v>
      </c>
      <c r="W394" s="300">
        <v>12.886000000125303</v>
      </c>
      <c r="X394" s="300">
        <v>5.0250000000736295</v>
      </c>
      <c r="Y394" s="300">
        <f>SUM(V394:X394)</f>
        <v>32.856000000393244</v>
      </c>
    </row>
    <row r="395" spans="1:25" x14ac:dyDescent="0.2">
      <c r="A395" s="260" t="s">
        <v>355</v>
      </c>
      <c r="B395" s="300">
        <v>20.479999999671584</v>
      </c>
      <c r="C395" s="300">
        <v>3.0769999999753512</v>
      </c>
      <c r="D395" s="300">
        <v>6.9400000000985136</v>
      </c>
      <c r="E395" s="300">
        <f t="shared" ref="E395:E396" si="1034">SUM(B395:D395)</f>
        <v>30.496999999745448</v>
      </c>
      <c r="F395" s="300"/>
      <c r="G395" s="300">
        <v>26.980999999608748</v>
      </c>
      <c r="H395" s="300">
        <v>3.0509999999786874</v>
      </c>
      <c r="I395" s="300">
        <v>8.7599999999566212</v>
      </c>
      <c r="J395" s="300">
        <f t="shared" ref="J395:J396" si="1035">SUM(G395:I395)</f>
        <v>38.791999999544053</v>
      </c>
      <c r="K395" s="300"/>
      <c r="L395" s="300">
        <v>25.88299999926106</v>
      </c>
      <c r="M395" s="300">
        <v>4.2929999999733708</v>
      </c>
      <c r="N395" s="300">
        <v>5.209999999991842</v>
      </c>
      <c r="O395" s="300">
        <f t="shared" ref="O395:O396" si="1036">SUM(L395:N395)</f>
        <v>35.385999999226271</v>
      </c>
      <c r="P395" s="300"/>
      <c r="Q395" s="300">
        <v>25.915999999526644</v>
      </c>
      <c r="R395" s="300">
        <v>4.4439999999798836</v>
      </c>
      <c r="S395" s="300">
        <v>5.3170000002117916</v>
      </c>
      <c r="T395" s="300">
        <f t="shared" ref="T395:T396" si="1037">SUM(Q395:S395)</f>
        <v>35.676999999718319</v>
      </c>
      <c r="U395" s="300"/>
      <c r="V395" s="300">
        <v>25.635999999262737</v>
      </c>
      <c r="W395" s="300">
        <v>4.6959999999760154</v>
      </c>
      <c r="X395" s="300">
        <v>5.4700000000986257</v>
      </c>
      <c r="Y395" s="300">
        <f t="shared" ref="Y395:Y396" si="1038">SUM(V395:X395)</f>
        <v>35.801999999337383</v>
      </c>
    </row>
    <row r="396" spans="1:25" x14ac:dyDescent="0.2">
      <c r="A396" s="260" t="s">
        <v>354</v>
      </c>
      <c r="B396" s="300">
        <f>SUM(B394:B395)</f>
        <v>29.563999999700155</v>
      </c>
      <c r="C396" s="300">
        <f t="shared" ref="C396" si="1039">SUM(C394:C395)</f>
        <v>12.107999999991977</v>
      </c>
      <c r="D396" s="300">
        <f t="shared" ref="D396" si="1040">SUM(D394:D395)</f>
        <v>10.926000000204239</v>
      </c>
      <c r="E396" s="300">
        <f t="shared" si="1034"/>
        <v>52.597999999896373</v>
      </c>
      <c r="F396" s="300"/>
      <c r="G396" s="300">
        <f>SUM(G394:G395)</f>
        <v>40.379999999193494</v>
      </c>
      <c r="H396" s="300">
        <f t="shared" ref="H396" si="1041">SUM(H394:H395)</f>
        <v>13.743999999902503</v>
      </c>
      <c r="I396" s="300">
        <f t="shared" ref="I396" si="1042">SUM(I394:I395)</f>
        <v>12.661999999910732</v>
      </c>
      <c r="J396" s="300">
        <f t="shared" si="1035"/>
        <v>66.785999999006734</v>
      </c>
      <c r="K396" s="300"/>
      <c r="L396" s="300">
        <f>SUM(L394:L395)</f>
        <v>39.739999998961416</v>
      </c>
      <c r="M396" s="300">
        <f t="shared" ref="M396" si="1043">SUM(M394:M395)</f>
        <v>15.945999999910452</v>
      </c>
      <c r="N396" s="300">
        <f t="shared" ref="N396" si="1044">SUM(N394:N395)</f>
        <v>10.565999999833586</v>
      </c>
      <c r="O396" s="300">
        <f t="shared" si="1036"/>
        <v>66.251999998705458</v>
      </c>
      <c r="P396" s="300"/>
      <c r="Q396" s="300">
        <f>SUM(Q394:Q395)</f>
        <v>40.189999999462202</v>
      </c>
      <c r="R396" s="300">
        <f t="shared" ref="R396" si="1045">SUM(R394:R395)</f>
        <v>16.558999999851089</v>
      </c>
      <c r="S396" s="300">
        <f t="shared" ref="S396" si="1046">SUM(S394:S395)</f>
        <v>10.59600000004786</v>
      </c>
      <c r="T396" s="300">
        <f t="shared" si="1037"/>
        <v>67.34499999936115</v>
      </c>
      <c r="U396" s="300"/>
      <c r="V396" s="300">
        <f>SUM(V394:V395)</f>
        <v>40.580999999457049</v>
      </c>
      <c r="W396" s="300">
        <f t="shared" ref="W396" si="1047">SUM(W394:W395)</f>
        <v>17.582000000101317</v>
      </c>
      <c r="X396" s="300">
        <f t="shared" ref="X396" si="1048">SUM(X394:X395)</f>
        <v>10.495000000172254</v>
      </c>
      <c r="Y396" s="300">
        <f t="shared" si="1038"/>
        <v>68.65799999973062</v>
      </c>
    </row>
    <row r="397" spans="1:25" x14ac:dyDescent="0.2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x14ac:dyDescent="0.2">
      <c r="A398" s="261" t="str">
        <f>name!A56</f>
        <v>Architectural and related</v>
      </c>
      <c r="C398" s="263"/>
    </row>
    <row r="399" spans="1:25" x14ac:dyDescent="0.2">
      <c r="A399" s="260" t="s">
        <v>356</v>
      </c>
      <c r="B399" s="300">
        <v>9.2570000000291373</v>
      </c>
      <c r="C399" s="300">
        <v>3.3500000000061654</v>
      </c>
      <c r="D399" s="300">
        <v>2.7020000000716724</v>
      </c>
      <c r="E399" s="300">
        <f>SUM(B399:D399)</f>
        <v>15.309000000106975</v>
      </c>
      <c r="F399" s="300"/>
      <c r="G399" s="300">
        <v>8.3709999997405777</v>
      </c>
      <c r="H399" s="300">
        <v>3.7179999999735078</v>
      </c>
      <c r="I399" s="300">
        <v>1.5779999999814422</v>
      </c>
      <c r="J399" s="300">
        <f>SUM(G399:I399)</f>
        <v>13.666999999695527</v>
      </c>
      <c r="K399" s="300"/>
      <c r="L399" s="300">
        <v>9.0319999998046843</v>
      </c>
      <c r="M399" s="300">
        <v>3.84199999997925</v>
      </c>
      <c r="N399" s="300">
        <v>2.6969999999203118</v>
      </c>
      <c r="O399" s="300">
        <f>SUM(L399:N399)</f>
        <v>15.570999999704245</v>
      </c>
      <c r="P399" s="300"/>
      <c r="Q399" s="300">
        <v>9.3009999999580195</v>
      </c>
      <c r="R399" s="300">
        <v>3.8689999999588638</v>
      </c>
      <c r="S399" s="300">
        <v>2.6349999999181737</v>
      </c>
      <c r="T399" s="300">
        <f>SUM(Q399:S399)</f>
        <v>15.804999999835056</v>
      </c>
      <c r="U399" s="300"/>
      <c r="V399" s="300">
        <v>10.4060000001353</v>
      </c>
      <c r="W399" s="300">
        <v>4.1670000000405274</v>
      </c>
      <c r="X399" s="300">
        <v>2.6580000000389461</v>
      </c>
      <c r="Y399" s="300">
        <f>SUM(V399:X399)</f>
        <v>17.231000000214774</v>
      </c>
    </row>
    <row r="400" spans="1:25" x14ac:dyDescent="0.2">
      <c r="A400" s="260" t="s">
        <v>355</v>
      </c>
      <c r="B400" s="300">
        <v>37.370999999400752</v>
      </c>
      <c r="C400" s="300">
        <v>1.7759999999857718</v>
      </c>
      <c r="D400" s="300">
        <v>12.033000000170828</v>
      </c>
      <c r="E400" s="300">
        <f t="shared" ref="E400:E401" si="1049">SUM(B400:D400)</f>
        <v>51.179999999557353</v>
      </c>
      <c r="F400" s="300"/>
      <c r="G400" s="300">
        <v>33.439999999515123</v>
      </c>
      <c r="H400" s="300">
        <v>2.2689999999841537</v>
      </c>
      <c r="I400" s="300">
        <v>12.131999999939929</v>
      </c>
      <c r="J400" s="300">
        <f t="shared" ref="J400:J401" si="1050">SUM(G400:I400)</f>
        <v>47.840999999439205</v>
      </c>
      <c r="K400" s="300"/>
      <c r="L400" s="300">
        <v>32.410999999074662</v>
      </c>
      <c r="M400" s="300">
        <v>2.7269999999830832</v>
      </c>
      <c r="N400" s="300">
        <v>7.1959999999887376</v>
      </c>
      <c r="O400" s="300">
        <f t="shared" ref="O400:O401" si="1051">SUM(L400:N400)</f>
        <v>42.333999999046483</v>
      </c>
      <c r="P400" s="300"/>
      <c r="Q400" s="300">
        <v>31.871999999417845</v>
      </c>
      <c r="R400" s="300">
        <v>2.7879999999873815</v>
      </c>
      <c r="S400" s="300">
        <v>7.0920000002824981</v>
      </c>
      <c r="T400" s="300">
        <f t="shared" ref="T400:T401" si="1052">SUM(Q400:S400)</f>
        <v>41.751999999687726</v>
      </c>
      <c r="U400" s="300"/>
      <c r="V400" s="300">
        <v>32.708999999059358</v>
      </c>
      <c r="W400" s="300">
        <v>3.0909999999842048</v>
      </c>
      <c r="X400" s="300">
        <v>7.3160000001319245</v>
      </c>
      <c r="Y400" s="300">
        <f t="shared" ref="Y400:Y401" si="1053">SUM(V400:X400)</f>
        <v>43.115999999175486</v>
      </c>
    </row>
    <row r="401" spans="1:25" x14ac:dyDescent="0.2">
      <c r="A401" s="260" t="s">
        <v>354</v>
      </c>
      <c r="B401" s="300">
        <f>SUM(B399:B400)</f>
        <v>46.627999999429889</v>
      </c>
      <c r="C401" s="300">
        <f t="shared" ref="C401" si="1054">SUM(C399:C400)</f>
        <v>5.1259999999919375</v>
      </c>
      <c r="D401" s="300">
        <f t="shared" ref="D401" si="1055">SUM(D399:D400)</f>
        <v>14.735000000242501</v>
      </c>
      <c r="E401" s="300">
        <f t="shared" si="1049"/>
        <v>66.48899999966433</v>
      </c>
      <c r="F401" s="300"/>
      <c r="G401" s="300">
        <f>SUM(G399:G400)</f>
        <v>41.810999999255699</v>
      </c>
      <c r="H401" s="300">
        <f t="shared" ref="H401" si="1056">SUM(H399:H400)</f>
        <v>5.9869999999576615</v>
      </c>
      <c r="I401" s="300">
        <f t="shared" ref="I401" si="1057">SUM(I399:I400)</f>
        <v>13.70999999992137</v>
      </c>
      <c r="J401" s="300">
        <f t="shared" si="1050"/>
        <v>61.507999999134732</v>
      </c>
      <c r="K401" s="300"/>
      <c r="L401" s="300">
        <f>SUM(L399:L400)</f>
        <v>41.442999998879344</v>
      </c>
      <c r="M401" s="300">
        <f t="shared" ref="M401" si="1058">SUM(M399:M400)</f>
        <v>6.5689999999623332</v>
      </c>
      <c r="N401" s="300">
        <f t="shared" ref="N401" si="1059">SUM(N399:N400)</f>
        <v>9.8929999999090494</v>
      </c>
      <c r="O401" s="300">
        <f t="shared" si="1051"/>
        <v>57.904999998750725</v>
      </c>
      <c r="P401" s="300"/>
      <c r="Q401" s="300">
        <f>SUM(Q399:Q400)</f>
        <v>41.172999999375861</v>
      </c>
      <c r="R401" s="300">
        <f t="shared" ref="R401" si="1060">SUM(R399:R400)</f>
        <v>6.6569999999462457</v>
      </c>
      <c r="S401" s="300">
        <f t="shared" ref="S401" si="1061">SUM(S399:S400)</f>
        <v>9.7270000002006718</v>
      </c>
      <c r="T401" s="300">
        <f t="shared" si="1052"/>
        <v>57.556999999522773</v>
      </c>
      <c r="U401" s="300"/>
      <c r="V401" s="300">
        <f>SUM(V399:V400)</f>
        <v>43.114999999194659</v>
      </c>
      <c r="W401" s="300">
        <f t="shared" ref="W401" si="1062">SUM(W399:W400)</f>
        <v>7.2580000000247322</v>
      </c>
      <c r="X401" s="300">
        <f t="shared" ref="X401" si="1063">SUM(X399:X400)</f>
        <v>9.9740000001708715</v>
      </c>
      <c r="Y401" s="300">
        <f t="shared" si="1053"/>
        <v>60.346999999390263</v>
      </c>
    </row>
    <row r="402" spans="1:25" x14ac:dyDescent="0.2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x14ac:dyDescent="0.2">
      <c r="A403" s="261" t="str">
        <f>name!A57</f>
        <v>Scientific research and development</v>
      </c>
      <c r="C403" s="263"/>
    </row>
    <row r="404" spans="1:25" x14ac:dyDescent="0.2">
      <c r="A404" s="260" t="s">
        <v>356</v>
      </c>
      <c r="B404" s="300">
        <v>1.4060000000423869</v>
      </c>
      <c r="C404" s="300">
        <v>0.36999999999832472</v>
      </c>
      <c r="D404" s="300">
        <v>1.055000000031779</v>
      </c>
      <c r="E404" s="300">
        <f>SUM(B404:D404)</f>
        <v>2.8310000000724909</v>
      </c>
      <c r="F404" s="300"/>
      <c r="G404" s="300">
        <v>1.86399999997229</v>
      </c>
      <c r="H404" s="300">
        <v>0.43899999998950595</v>
      </c>
      <c r="I404" s="300">
        <v>1.0869999999786242</v>
      </c>
      <c r="J404" s="300">
        <f>SUM(G404:I404)</f>
        <v>3.3899999999404198</v>
      </c>
      <c r="K404" s="300"/>
      <c r="L404" s="300">
        <v>2.0209999999832924</v>
      </c>
      <c r="M404" s="300">
        <v>0.48899999998867605</v>
      </c>
      <c r="N404" s="300">
        <v>1.4469999999568592</v>
      </c>
      <c r="O404" s="300">
        <f>SUM(L404:N404)</f>
        <v>3.9569999999288274</v>
      </c>
      <c r="P404" s="300"/>
      <c r="Q404" s="300">
        <v>2.4129999998310558</v>
      </c>
      <c r="R404" s="300">
        <v>0.57699999997571394</v>
      </c>
      <c r="S404" s="300">
        <v>1.7929999999338146</v>
      </c>
      <c r="T404" s="300">
        <f>SUM(Q404:S404)</f>
        <v>4.7829999997405848</v>
      </c>
      <c r="U404" s="300"/>
      <c r="V404" s="300">
        <v>2.893000000081114</v>
      </c>
      <c r="W404" s="300">
        <v>0.68400000000644945</v>
      </c>
      <c r="X404" s="300">
        <v>2.3690000000400819</v>
      </c>
      <c r="Y404" s="300">
        <f>SUM(V404:X404)</f>
        <v>5.9460000001276452</v>
      </c>
    </row>
    <row r="405" spans="1:25" x14ac:dyDescent="0.2">
      <c r="A405" s="260" t="s">
        <v>355</v>
      </c>
      <c r="B405" s="300">
        <v>4.6089999999609548</v>
      </c>
      <c r="C405" s="300">
        <v>0.30699999999565952</v>
      </c>
      <c r="D405" s="300">
        <v>3.6210000000278861</v>
      </c>
      <c r="E405" s="300">
        <f t="shared" ref="E405:E406" si="1064">SUM(B405:D405)</f>
        <v>8.5369999999845003</v>
      </c>
      <c r="F405" s="300"/>
      <c r="G405" s="300">
        <v>5.3579999999511356</v>
      </c>
      <c r="H405" s="300">
        <v>0.31099999999530198</v>
      </c>
      <c r="I405" s="300">
        <v>3.7669999999596131</v>
      </c>
      <c r="J405" s="300">
        <f t="shared" ref="J405:J406" si="1065">SUM(G405:I405)</f>
        <v>9.435999999906052</v>
      </c>
      <c r="K405" s="300"/>
      <c r="L405" s="300">
        <v>4.9149999998912994</v>
      </c>
      <c r="M405" s="300">
        <v>0.34800000000074111</v>
      </c>
      <c r="N405" s="300">
        <v>2.1059999999822043</v>
      </c>
      <c r="O405" s="300">
        <f t="shared" ref="O405:O406" si="1066">SUM(L405:N405)</f>
        <v>7.3689999998742453</v>
      </c>
      <c r="P405" s="300"/>
      <c r="Q405" s="300">
        <v>5.7889999998804695</v>
      </c>
      <c r="R405" s="300">
        <v>0.42799999999832172</v>
      </c>
      <c r="S405" s="300">
        <v>2.5330000000749724</v>
      </c>
      <c r="T405" s="300">
        <f t="shared" ref="T405:T406" si="1067">SUM(Q405:S405)</f>
        <v>8.7499999999537632</v>
      </c>
      <c r="U405" s="300"/>
      <c r="V405" s="300">
        <v>6.7369999998212595</v>
      </c>
      <c r="W405" s="300">
        <v>0.54999999999759253</v>
      </c>
      <c r="X405" s="300">
        <v>3.1120000000347687</v>
      </c>
      <c r="Y405" s="300">
        <f t="shared" ref="Y405:Y406" si="1068">SUM(V405:X405)</f>
        <v>10.398999999853622</v>
      </c>
    </row>
    <row r="406" spans="1:25" x14ac:dyDescent="0.2">
      <c r="A406" s="260" t="s">
        <v>354</v>
      </c>
      <c r="B406" s="300">
        <f>SUM(B404:B405)</f>
        <v>6.0150000000033419</v>
      </c>
      <c r="C406" s="300">
        <f t="shared" ref="C406" si="1069">SUM(C404:C405)</f>
        <v>0.67699999999398419</v>
      </c>
      <c r="D406" s="300">
        <f t="shared" ref="D406" si="1070">SUM(D404:D405)</f>
        <v>4.6760000000596653</v>
      </c>
      <c r="E406" s="300">
        <f t="shared" si="1064"/>
        <v>11.368000000056991</v>
      </c>
      <c r="F406" s="300"/>
      <c r="G406" s="300">
        <f>SUM(G404:G405)</f>
        <v>7.2219999999234261</v>
      </c>
      <c r="H406" s="300">
        <f t="shared" ref="H406" si="1071">SUM(H404:H405)</f>
        <v>0.74999999998480793</v>
      </c>
      <c r="I406" s="300">
        <f t="shared" ref="I406" si="1072">SUM(I404:I405)</f>
        <v>4.8539999999382371</v>
      </c>
      <c r="J406" s="300">
        <f t="shared" si="1065"/>
        <v>12.82599999984647</v>
      </c>
      <c r="K406" s="300"/>
      <c r="L406" s="300">
        <f>SUM(L404:L405)</f>
        <v>6.9359999998745918</v>
      </c>
      <c r="M406" s="300">
        <f t="shared" ref="M406" si="1073">SUM(M404:M405)</f>
        <v>0.8369999999894171</v>
      </c>
      <c r="N406" s="300">
        <f t="shared" ref="N406" si="1074">SUM(N404:N405)</f>
        <v>3.5529999999390638</v>
      </c>
      <c r="O406" s="300">
        <f t="shared" si="1066"/>
        <v>11.325999999803074</v>
      </c>
      <c r="P406" s="300"/>
      <c r="Q406" s="300">
        <f>SUM(Q404:Q405)</f>
        <v>8.2019999997115249</v>
      </c>
      <c r="R406" s="300">
        <f t="shared" ref="R406" si="1075">SUM(R404:R405)</f>
        <v>1.0049999999740358</v>
      </c>
      <c r="S406" s="300">
        <f t="shared" ref="S406" si="1076">SUM(S404:S405)</f>
        <v>4.3260000000087873</v>
      </c>
      <c r="T406" s="300">
        <f t="shared" si="1067"/>
        <v>13.532999999694347</v>
      </c>
      <c r="U406" s="300"/>
      <c r="V406" s="300">
        <f>SUM(V404:V405)</f>
        <v>9.629999999902374</v>
      </c>
      <c r="W406" s="300">
        <f t="shared" ref="W406" si="1077">SUM(W404:W405)</f>
        <v>1.2340000000040421</v>
      </c>
      <c r="X406" s="300">
        <f t="shared" ref="X406" si="1078">SUM(X404:X405)</f>
        <v>5.4810000000748502</v>
      </c>
      <c r="Y406" s="300">
        <f t="shared" si="1068"/>
        <v>16.344999999981265</v>
      </c>
    </row>
    <row r="407" spans="1:25" x14ac:dyDescent="0.2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x14ac:dyDescent="0.2">
      <c r="A408" s="261" t="str">
        <f>name!A58</f>
        <v>Advertising, etc</v>
      </c>
      <c r="C408" s="263"/>
    </row>
    <row r="409" spans="1:25" x14ac:dyDescent="0.2">
      <c r="A409" s="260" t="s">
        <v>356</v>
      </c>
      <c r="B409" s="300">
        <v>2.5100000000078992</v>
      </c>
      <c r="C409" s="300">
        <v>1.3700000000025221</v>
      </c>
      <c r="D409" s="300">
        <v>1.6020000000424937</v>
      </c>
      <c r="E409" s="300">
        <f>SUM(B409:D409)</f>
        <v>5.4820000000529152</v>
      </c>
      <c r="F409" s="300"/>
      <c r="G409" s="300">
        <v>2.2189999999312326</v>
      </c>
      <c r="H409" s="300">
        <v>3.4129999999756868</v>
      </c>
      <c r="I409" s="300">
        <v>1.6699999999803588</v>
      </c>
      <c r="J409" s="300">
        <f>SUM(G409:I409)</f>
        <v>7.3019999998872782</v>
      </c>
      <c r="K409" s="300"/>
      <c r="L409" s="300">
        <v>2.4049999999479903</v>
      </c>
      <c r="M409" s="300">
        <v>3.8069999999794355</v>
      </c>
      <c r="N409" s="300">
        <v>2.2239999999342848</v>
      </c>
      <c r="O409" s="300">
        <f>SUM(L409:N409)</f>
        <v>8.4359999998617106</v>
      </c>
      <c r="P409" s="300"/>
      <c r="Q409" s="300">
        <v>2.8719999999870303</v>
      </c>
      <c r="R409" s="300">
        <v>4.4919999999522444</v>
      </c>
      <c r="S409" s="300">
        <v>2.7549999999144421</v>
      </c>
      <c r="T409" s="300">
        <f>SUM(Q409:S409)</f>
        <v>10.118999999853717</v>
      </c>
      <c r="U409" s="300"/>
      <c r="V409" s="300">
        <v>3.4430000000447665</v>
      </c>
      <c r="W409" s="300">
        <v>5.3260000000517893</v>
      </c>
      <c r="X409" s="300">
        <v>3.6390000000533145</v>
      </c>
      <c r="Y409" s="300">
        <f>SUM(V409:X409)</f>
        <v>12.408000000149871</v>
      </c>
    </row>
    <row r="410" spans="1:25" x14ac:dyDescent="0.2">
      <c r="A410" s="260" t="s">
        <v>355</v>
      </c>
      <c r="B410" s="300">
        <v>3.2069999999485703</v>
      </c>
      <c r="C410" s="300">
        <v>0.38999999999687607</v>
      </c>
      <c r="D410" s="300">
        <v>2.0820000000295549</v>
      </c>
      <c r="E410" s="300">
        <f t="shared" ref="E410:E411" si="1079">SUM(B410:D410)</f>
        <v>5.6789999999750016</v>
      </c>
      <c r="F410" s="300"/>
      <c r="G410" s="300">
        <v>2.4859999999639464</v>
      </c>
      <c r="H410" s="300">
        <v>0.83199999999418872</v>
      </c>
      <c r="I410" s="300">
        <v>2.1929999999891368</v>
      </c>
      <c r="J410" s="300">
        <f t="shared" ref="J410:J411" si="1080">SUM(G410:I410)</f>
        <v>5.5109999999472716</v>
      </c>
      <c r="K410" s="300"/>
      <c r="L410" s="300">
        <v>2.2799999999349052</v>
      </c>
      <c r="M410" s="300">
        <v>0.93099999999422423</v>
      </c>
      <c r="N410" s="300">
        <v>1.2259999999980815</v>
      </c>
      <c r="O410" s="300">
        <f t="shared" ref="O410:O411" si="1081">SUM(L410:N410)</f>
        <v>4.4369999999272114</v>
      </c>
      <c r="P410" s="300"/>
      <c r="Q410" s="300">
        <v>2.6849999999509602</v>
      </c>
      <c r="R410" s="300">
        <v>1.1439999999948229</v>
      </c>
      <c r="S410" s="300">
        <v>1.4740000000587132</v>
      </c>
      <c r="T410" s="300">
        <f t="shared" ref="T410:T411" si="1082">SUM(Q410:S410)</f>
        <v>5.3030000000044968</v>
      </c>
      <c r="U410" s="300"/>
      <c r="V410" s="300">
        <v>3.1249999999101314</v>
      </c>
      <c r="W410" s="300">
        <v>1.4709999999924857</v>
      </c>
      <c r="X410" s="300">
        <v>1.8110000000326578</v>
      </c>
      <c r="Y410" s="300">
        <f t="shared" ref="Y410:Y411" si="1083">SUM(V410:X410)</f>
        <v>6.4069999999352749</v>
      </c>
    </row>
    <row r="411" spans="1:25" x14ac:dyDescent="0.2">
      <c r="A411" s="260" t="s">
        <v>354</v>
      </c>
      <c r="B411" s="300">
        <f>SUM(B409:B410)</f>
        <v>5.7169999999564691</v>
      </c>
      <c r="C411" s="300">
        <f t="shared" ref="C411" si="1084">SUM(C409:C410)</f>
        <v>1.759999999999398</v>
      </c>
      <c r="D411" s="300">
        <f t="shared" ref="D411" si="1085">SUM(D409:D410)</f>
        <v>3.6840000000720483</v>
      </c>
      <c r="E411" s="300">
        <f t="shared" si="1079"/>
        <v>11.161000000027915</v>
      </c>
      <c r="F411" s="300"/>
      <c r="G411" s="300">
        <f>SUM(G409:G410)</f>
        <v>4.704999999895179</v>
      </c>
      <c r="H411" s="300">
        <f t="shared" ref="H411" si="1086">SUM(H409:H410)</f>
        <v>4.2449999999698758</v>
      </c>
      <c r="I411" s="300">
        <f t="shared" ref="I411" si="1087">SUM(I409:I410)</f>
        <v>3.8629999999694955</v>
      </c>
      <c r="J411" s="300">
        <f t="shared" si="1080"/>
        <v>12.812999999834551</v>
      </c>
      <c r="K411" s="300"/>
      <c r="L411" s="300">
        <f>SUM(L409:L410)</f>
        <v>4.6849999998828959</v>
      </c>
      <c r="M411" s="300">
        <f t="shared" ref="M411" si="1088">SUM(M409:M410)</f>
        <v>4.7379999999736597</v>
      </c>
      <c r="N411" s="300">
        <f t="shared" ref="N411" si="1089">SUM(N409:N410)</f>
        <v>3.4499999999323663</v>
      </c>
      <c r="O411" s="300">
        <f t="shared" si="1081"/>
        <v>12.872999999788922</v>
      </c>
      <c r="P411" s="300"/>
      <c r="Q411" s="300">
        <f>SUM(Q409:Q410)</f>
        <v>5.5569999999379904</v>
      </c>
      <c r="R411" s="300">
        <f t="shared" ref="R411" si="1090">SUM(R409:R410)</f>
        <v>5.6359999999470674</v>
      </c>
      <c r="S411" s="300">
        <f t="shared" ref="S411" si="1091">SUM(S409:S410)</f>
        <v>4.2289999999731549</v>
      </c>
      <c r="T411" s="300">
        <f t="shared" si="1082"/>
        <v>15.421999999858212</v>
      </c>
      <c r="U411" s="300"/>
      <c r="V411" s="300">
        <f>SUM(V409:V410)</f>
        <v>6.5679999999548979</v>
      </c>
      <c r="W411" s="300">
        <f t="shared" ref="W411" si="1092">SUM(W409:W410)</f>
        <v>6.7970000000442745</v>
      </c>
      <c r="X411" s="300">
        <f t="shared" ref="X411" si="1093">SUM(X409:X410)</f>
        <v>5.4500000000859723</v>
      </c>
      <c r="Y411" s="300">
        <f t="shared" si="1083"/>
        <v>18.815000000085146</v>
      </c>
    </row>
    <row r="412" spans="1:25" x14ac:dyDescent="0.2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x14ac:dyDescent="0.2">
      <c r="A413" s="261" t="str">
        <f>name!A59</f>
        <v>Other professional</v>
      </c>
      <c r="C413" s="263"/>
    </row>
    <row r="414" spans="1:25" x14ac:dyDescent="0.2">
      <c r="A414" s="260" t="s">
        <v>356</v>
      </c>
      <c r="B414" s="300">
        <v>6.7720000000076999</v>
      </c>
      <c r="C414" s="300">
        <v>1.0129999999986947</v>
      </c>
      <c r="D414" s="300">
        <v>1.9590000000456094</v>
      </c>
      <c r="E414" s="300">
        <f>SUM(B414:D414)</f>
        <v>9.7440000000520044</v>
      </c>
      <c r="F414" s="300"/>
      <c r="G414" s="300">
        <v>6.2469999998514725</v>
      </c>
      <c r="H414" s="300">
        <v>2.4179999999984876</v>
      </c>
      <c r="I414" s="300">
        <v>1.8879999999924821</v>
      </c>
      <c r="J414" s="300">
        <f>SUM(G414:I414)</f>
        <v>10.552999999842443</v>
      </c>
      <c r="K414" s="300"/>
      <c r="L414" s="300">
        <v>6.7699999998875189</v>
      </c>
      <c r="M414" s="300">
        <v>2.6969999999974283</v>
      </c>
      <c r="N414" s="300">
        <v>2.5139999999399287</v>
      </c>
      <c r="O414" s="300">
        <f>SUM(L414:N414)</f>
        <v>11.980999999824876</v>
      </c>
      <c r="P414" s="300"/>
      <c r="Q414" s="300">
        <v>8.0849999999900373</v>
      </c>
      <c r="R414" s="300">
        <v>3.1829999999844705</v>
      </c>
      <c r="S414" s="300">
        <v>3.1149999999421119</v>
      </c>
      <c r="T414" s="300">
        <f>SUM(Q414:S414)</f>
        <v>14.38299999991662</v>
      </c>
      <c r="U414" s="300"/>
      <c r="V414" s="300">
        <v>9.6920000001029276</v>
      </c>
      <c r="W414" s="300">
        <v>3.7740000000186731</v>
      </c>
      <c r="X414" s="300">
        <v>4.1150000000282834</v>
      </c>
      <c r="Y414" s="300">
        <f>SUM(V414:X414)</f>
        <v>17.581000000149885</v>
      </c>
    </row>
    <row r="415" spans="1:25" x14ac:dyDescent="0.2">
      <c r="A415" s="260" t="s">
        <v>355</v>
      </c>
      <c r="B415" s="300">
        <v>5.810999999940055</v>
      </c>
      <c r="C415" s="300">
        <v>0.31000000000256489</v>
      </c>
      <c r="D415" s="300">
        <v>4.1840000000512703</v>
      </c>
      <c r="E415" s="300">
        <f t="shared" ref="E415:E416" si="1094">SUM(B415:D415)</f>
        <v>10.304999999993889</v>
      </c>
      <c r="F415" s="300"/>
      <c r="G415" s="300">
        <v>4.6989999999573397</v>
      </c>
      <c r="H415" s="300">
        <v>0.63200000000527978</v>
      </c>
      <c r="I415" s="300">
        <v>4.073999999997258</v>
      </c>
      <c r="J415" s="300">
        <f t="shared" ref="J415:J416" si="1095">SUM(G415:I415)</f>
        <v>9.4049999999598768</v>
      </c>
      <c r="K415" s="300"/>
      <c r="L415" s="300">
        <v>4.3109999999270441</v>
      </c>
      <c r="M415" s="300">
        <v>0.70700000000463126</v>
      </c>
      <c r="N415" s="300">
        <v>2.2780000000061724</v>
      </c>
      <c r="O415" s="300">
        <f t="shared" ref="O415:O416" si="1096">SUM(L415:N415)</f>
        <v>7.2959999999378473</v>
      </c>
      <c r="P415" s="300"/>
      <c r="Q415" s="300">
        <v>5.076999999946473</v>
      </c>
      <c r="R415" s="300">
        <v>0.86900000000558575</v>
      </c>
      <c r="S415" s="300">
        <v>2.7390000000887209</v>
      </c>
      <c r="T415" s="300">
        <f t="shared" ref="T415:T416" si="1097">SUM(Q415:S415)</f>
        <v>8.6850000000407803</v>
      </c>
      <c r="U415" s="300"/>
      <c r="V415" s="300">
        <v>5.9089999998853431</v>
      </c>
      <c r="W415" s="300">
        <v>1.1180000000126924</v>
      </c>
      <c r="X415" s="300">
        <v>3.3650000000564306</v>
      </c>
      <c r="Y415" s="300">
        <f t="shared" ref="Y415:Y416" si="1098">SUM(V415:X415)</f>
        <v>10.391999999954466</v>
      </c>
    </row>
    <row r="416" spans="1:25" x14ac:dyDescent="0.2">
      <c r="A416" s="260" t="s">
        <v>354</v>
      </c>
      <c r="B416" s="300">
        <f>SUM(B414:B415)</f>
        <v>12.582999999947756</v>
      </c>
      <c r="C416" s="300">
        <f t="shared" ref="C416" si="1099">SUM(C414:C415)</f>
        <v>1.3230000000012596</v>
      </c>
      <c r="D416" s="300">
        <f t="shared" ref="D416" si="1100">SUM(D414:D415)</f>
        <v>6.1430000000968796</v>
      </c>
      <c r="E416" s="300">
        <f t="shared" si="1094"/>
        <v>20.049000000045893</v>
      </c>
      <c r="F416" s="300"/>
      <c r="G416" s="300">
        <f>SUM(G414:G415)</f>
        <v>10.945999999808812</v>
      </c>
      <c r="H416" s="300">
        <f t="shared" ref="H416" si="1101">SUM(H414:H415)</f>
        <v>3.0500000000037675</v>
      </c>
      <c r="I416" s="300">
        <f t="shared" ref="I416" si="1102">SUM(I414:I415)</f>
        <v>5.9619999999897404</v>
      </c>
      <c r="J416" s="300">
        <f t="shared" si="1095"/>
        <v>19.957999999802318</v>
      </c>
      <c r="K416" s="300"/>
      <c r="L416" s="300">
        <f>SUM(L414:L415)</f>
        <v>11.080999999814562</v>
      </c>
      <c r="M416" s="300">
        <f t="shared" ref="M416" si="1103">SUM(M414:M415)</f>
        <v>3.4040000000020596</v>
      </c>
      <c r="N416" s="300">
        <f t="shared" ref="N416" si="1104">SUM(N414:N415)</f>
        <v>4.7919999999461016</v>
      </c>
      <c r="O416" s="300">
        <f t="shared" si="1096"/>
        <v>19.276999999762722</v>
      </c>
      <c r="P416" s="300"/>
      <c r="Q416" s="300">
        <f>SUM(Q414:Q415)</f>
        <v>13.16199999993651</v>
      </c>
      <c r="R416" s="300">
        <f t="shared" ref="R416" si="1105">SUM(R414:R415)</f>
        <v>4.0519999999900564</v>
      </c>
      <c r="S416" s="300">
        <f t="shared" ref="S416" si="1106">SUM(S414:S415)</f>
        <v>5.8540000000308332</v>
      </c>
      <c r="T416" s="300">
        <f t="shared" si="1097"/>
        <v>23.067999999957401</v>
      </c>
      <c r="U416" s="300"/>
      <c r="V416" s="300">
        <f>SUM(V414:V415)</f>
        <v>15.600999999988272</v>
      </c>
      <c r="W416" s="300">
        <f t="shared" ref="W416" si="1107">SUM(W414:W415)</f>
        <v>4.8920000000313655</v>
      </c>
      <c r="X416" s="300">
        <f t="shared" ref="X416" si="1108">SUM(X414:X415)</f>
        <v>7.480000000084714</v>
      </c>
      <c r="Y416" s="300">
        <f t="shared" si="1098"/>
        <v>27.973000000104353</v>
      </c>
    </row>
    <row r="417" spans="1:25" x14ac:dyDescent="0.2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x14ac:dyDescent="0.2">
      <c r="A418" s="261" t="str">
        <f>name!A60</f>
        <v>Veterinary</v>
      </c>
      <c r="C418" s="263"/>
    </row>
    <row r="419" spans="1:25" x14ac:dyDescent="0.2">
      <c r="A419" s="260" t="s">
        <v>356</v>
      </c>
      <c r="B419" s="300">
        <v>1.1960000000116622</v>
      </c>
      <c r="C419" s="300">
        <v>3.8959999999231609</v>
      </c>
      <c r="D419" s="300">
        <v>3.1609999997931433</v>
      </c>
      <c r="E419" s="300">
        <f>SUM(B419:D419)</f>
        <v>8.2529999997279671</v>
      </c>
      <c r="F419" s="300"/>
      <c r="G419" s="300">
        <v>1.6329999999773217</v>
      </c>
      <c r="H419" s="300">
        <v>2.4909999999617556</v>
      </c>
      <c r="I419" s="300">
        <v>2.6369999997984874</v>
      </c>
      <c r="J419" s="300">
        <f>SUM(G419:I419)</f>
        <v>6.7609999997375638</v>
      </c>
      <c r="K419" s="300"/>
      <c r="L419" s="300">
        <v>1.7689999999824606</v>
      </c>
      <c r="M419" s="300">
        <v>2.7779999999450218</v>
      </c>
      <c r="N419" s="300">
        <v>3.5110000002459865</v>
      </c>
      <c r="O419" s="300">
        <f>SUM(L419:N419)</f>
        <v>8.0580000001734682</v>
      </c>
      <c r="P419" s="300"/>
      <c r="Q419" s="300">
        <v>2.1129999999511062</v>
      </c>
      <c r="R419" s="300">
        <v>3.2779999998869074</v>
      </c>
      <c r="S419" s="300">
        <v>4.349999999976375</v>
      </c>
      <c r="T419" s="300">
        <f>SUM(Q419:S419)</f>
        <v>9.7409999998143881</v>
      </c>
      <c r="U419" s="300"/>
      <c r="V419" s="300">
        <v>2.5330000000212514</v>
      </c>
      <c r="W419" s="300">
        <v>3.8869999999937686</v>
      </c>
      <c r="X419" s="300">
        <v>5.7460000000001372</v>
      </c>
      <c r="Y419" s="300">
        <f>SUM(V419:X419)</f>
        <v>12.166000000015156</v>
      </c>
    </row>
    <row r="420" spans="1:25" x14ac:dyDescent="0.2">
      <c r="A420" s="260" t="s">
        <v>355</v>
      </c>
      <c r="B420" s="300">
        <v>2.6749999999797662</v>
      </c>
      <c r="C420" s="300">
        <v>1.2749999999946298</v>
      </c>
      <c r="D420" s="300">
        <v>0.61600000002261668</v>
      </c>
      <c r="E420" s="300">
        <f t="shared" ref="E420:E421" si="1109">SUM(B420:D420)</f>
        <v>4.5659999999970129</v>
      </c>
      <c r="F420" s="300"/>
      <c r="G420" s="300">
        <v>3.1999999999770652</v>
      </c>
      <c r="H420" s="300">
        <v>0.6969999999967551</v>
      </c>
      <c r="I420" s="300">
        <v>0.51899999999593593</v>
      </c>
      <c r="J420" s="300">
        <f t="shared" ref="J420:J421" si="1110">SUM(G420:I420)</f>
        <v>4.4159999999697561</v>
      </c>
      <c r="K420" s="300"/>
      <c r="L420" s="300">
        <v>2.9359999999479549</v>
      </c>
      <c r="M420" s="300">
        <v>0.78000000000051106</v>
      </c>
      <c r="N420" s="300">
        <v>0.29000000000239878</v>
      </c>
      <c r="O420" s="300">
        <f t="shared" ref="O420:O421" si="1111">SUM(L420:N420)</f>
        <v>4.0059999999508644</v>
      </c>
      <c r="P420" s="300"/>
      <c r="Q420" s="300">
        <v>3.4579999999480786</v>
      </c>
      <c r="R420" s="300">
        <v>0.95899999999773888</v>
      </c>
      <c r="S420" s="300">
        <v>0.34900000002648524</v>
      </c>
      <c r="T420" s="300">
        <f t="shared" ref="T420:T421" si="1112">SUM(Q420:S420)</f>
        <v>4.7659999999723031</v>
      </c>
      <c r="U420" s="300"/>
      <c r="V420" s="300">
        <v>4.0239999999230314</v>
      </c>
      <c r="W420" s="300">
        <v>1.2339999999933886</v>
      </c>
      <c r="X420" s="300">
        <v>0.42900000001944333</v>
      </c>
      <c r="Y420" s="300">
        <f t="shared" ref="Y420:Y421" si="1113">SUM(V420:X420)</f>
        <v>5.6869999999358631</v>
      </c>
    </row>
    <row r="421" spans="1:25" x14ac:dyDescent="0.2">
      <c r="A421" s="260" t="s">
        <v>354</v>
      </c>
      <c r="B421" s="300">
        <f>SUM(B419:B420)</f>
        <v>3.8709999999914286</v>
      </c>
      <c r="C421" s="300">
        <f t="shared" ref="C421" si="1114">SUM(C419:C420)</f>
        <v>5.1709999999177905</v>
      </c>
      <c r="D421" s="300">
        <f t="shared" ref="D421" si="1115">SUM(D419:D420)</f>
        <v>3.77699999981576</v>
      </c>
      <c r="E421" s="300">
        <f t="shared" si="1109"/>
        <v>12.81899999972498</v>
      </c>
      <c r="F421" s="300"/>
      <c r="G421" s="300">
        <f>SUM(G419:G420)</f>
        <v>4.8329999999543869</v>
      </c>
      <c r="H421" s="300">
        <f t="shared" ref="H421" si="1116">SUM(H419:H420)</f>
        <v>3.1879999999585107</v>
      </c>
      <c r="I421" s="300">
        <f t="shared" ref="I421" si="1117">SUM(I419:I420)</f>
        <v>3.1559999997944232</v>
      </c>
      <c r="J421" s="300">
        <f t="shared" si="1110"/>
        <v>11.17699999970732</v>
      </c>
      <c r="K421" s="300"/>
      <c r="L421" s="300">
        <f>SUM(L419:L420)</f>
        <v>4.7049999999304157</v>
      </c>
      <c r="M421" s="300">
        <f t="shared" ref="M421" si="1118">SUM(M419:M420)</f>
        <v>3.5579999999455327</v>
      </c>
      <c r="N421" s="300">
        <f t="shared" ref="N421" si="1119">SUM(N419:N420)</f>
        <v>3.8010000002483855</v>
      </c>
      <c r="O421" s="300">
        <f t="shared" si="1111"/>
        <v>12.064000000124334</v>
      </c>
      <c r="P421" s="300"/>
      <c r="Q421" s="300">
        <f>SUM(Q419:Q420)</f>
        <v>5.5709999998991844</v>
      </c>
      <c r="R421" s="300">
        <f t="shared" ref="R421" si="1120">SUM(R419:R420)</f>
        <v>4.2369999998846462</v>
      </c>
      <c r="S421" s="300">
        <f t="shared" ref="S421" si="1121">SUM(S419:S420)</f>
        <v>4.6990000000028598</v>
      </c>
      <c r="T421" s="300">
        <f t="shared" si="1112"/>
        <v>14.506999999786691</v>
      </c>
      <c r="U421" s="300"/>
      <c r="V421" s="300">
        <f>SUM(V419:V420)</f>
        <v>6.5569999999442832</v>
      </c>
      <c r="W421" s="300">
        <f t="shared" ref="W421" si="1122">SUM(W419:W420)</f>
        <v>5.1209999999871574</v>
      </c>
      <c r="X421" s="300">
        <f t="shared" ref="X421" si="1123">SUM(X419:X420)</f>
        <v>6.1750000000195806</v>
      </c>
      <c r="Y421" s="300">
        <f t="shared" si="1113"/>
        <v>17.85299999995102</v>
      </c>
    </row>
    <row r="423" spans="1:25" x14ac:dyDescent="0.2">
      <c r="A423" s="261" t="s">
        <v>361</v>
      </c>
    </row>
    <row r="424" spans="1:25" x14ac:dyDescent="0.2">
      <c r="A424" s="260" t="s">
        <v>356</v>
      </c>
      <c r="B424" s="300">
        <f>SUM(B389,B394,B399,B404,B409,B414,B419)</f>
        <v>48.452000000184718</v>
      </c>
      <c r="C424" s="300">
        <f t="shared" ref="C424:D425" si="1124">SUM(C389,C394,C399,C404,C409,C414,C419)</f>
        <v>28.218999999962413</v>
      </c>
      <c r="D424" s="300">
        <f t="shared" si="1124"/>
        <v>21.399000000274341</v>
      </c>
      <c r="E424" s="300">
        <f>SUM(B424:D424)</f>
        <v>98.070000000421473</v>
      </c>
      <c r="F424" s="300"/>
      <c r="G424" s="300">
        <f>SUM(G389,G394,G399,G404,G409,G414,G419)</f>
        <v>59.044999998273205</v>
      </c>
      <c r="H424" s="300">
        <f t="shared" ref="H424:I424" si="1125">SUM(H389,H394,H399,H404,H409,H414,H419)</f>
        <v>33.971999999745805</v>
      </c>
      <c r="I424" s="300">
        <f t="shared" si="1125"/>
        <v>20.398999999595688</v>
      </c>
      <c r="J424" s="300">
        <f>SUM(G424:I424)</f>
        <v>113.41599999761469</v>
      </c>
      <c r="K424" s="300"/>
      <c r="L424" s="300">
        <f>SUM(L389,L394,L399,L404,L409,L414,L419)</f>
        <v>62.496999998730168</v>
      </c>
      <c r="M424" s="300">
        <f t="shared" ref="M424:N424" si="1126">SUM(M389,M394,M399,M404,M409,M414,M419)</f>
        <v>38.232999999756871</v>
      </c>
      <c r="N424" s="300">
        <f t="shared" si="1126"/>
        <v>27.707999999544846</v>
      </c>
      <c r="O424" s="300">
        <f>SUM(L424:N424)</f>
        <v>128.4379999980319</v>
      </c>
      <c r="P424" s="300"/>
      <c r="Q424" s="300">
        <f>SUM(Q389,Q394,Q399,Q404,Q409,Q414,Q419)</f>
        <v>66.335999999529648</v>
      </c>
      <c r="R424" s="300">
        <f t="shared" ref="R424:S424" si="1127">SUM(R389,R394,R399,R404,R409,R414,R419)</f>
        <v>41.02899999948572</v>
      </c>
      <c r="S424" s="300">
        <f t="shared" si="1127"/>
        <v>30.189999999202268</v>
      </c>
      <c r="T424" s="300">
        <f>SUM(Q424:S424)</f>
        <v>137.55499999821762</v>
      </c>
      <c r="U424" s="300"/>
      <c r="V424" s="300">
        <f>SUM(V389,V394,V399,V404,V409,V414,V419)</f>
        <v>71.483000000938134</v>
      </c>
      <c r="W424" s="300">
        <f t="shared" ref="W424:X424" si="1128">SUM(W389,W394,W399,W404,W409,W414,W419)</f>
        <v>44.865000000374017</v>
      </c>
      <c r="X424" s="300">
        <f t="shared" si="1128"/>
        <v>34.045000000388129</v>
      </c>
      <c r="Y424" s="300">
        <f>SUM(V424:X424)</f>
        <v>150.39300000170027</v>
      </c>
    </row>
    <row r="425" spans="1:25" x14ac:dyDescent="0.2">
      <c r="A425" s="260" t="s">
        <v>355</v>
      </c>
      <c r="B425" s="300">
        <f>SUM(B390,B395,B400,B405,B410,B415,B420)</f>
        <v>89.371999998657628</v>
      </c>
      <c r="C425" s="300">
        <f t="shared" si="1124"/>
        <v>10.225999999926092</v>
      </c>
      <c r="D425" s="300">
        <f t="shared" si="1124"/>
        <v>37.62400000051634</v>
      </c>
      <c r="E425" s="300">
        <f t="shared" ref="E425:E426" si="1129">SUM(B425:D425)</f>
        <v>137.22199999910006</v>
      </c>
      <c r="F425" s="300"/>
      <c r="G425" s="300">
        <f>SUM(G390,G395,G400,G405,G410,G415,G420)</f>
        <v>96.263999998681882</v>
      </c>
      <c r="H425" s="300">
        <f t="shared" ref="H425:I425" si="1130">SUM(H390,H395,H400,H405,H410,H415,H420)</f>
        <v>10.690999999934117</v>
      </c>
      <c r="I425" s="300">
        <f t="shared" si="1130"/>
        <v>42.234999999785067</v>
      </c>
      <c r="J425" s="300">
        <f t="shared" ref="J425:J426" si="1131">SUM(G425:I425)</f>
        <v>149.18999999840108</v>
      </c>
      <c r="K425" s="300"/>
      <c r="L425" s="300">
        <f>SUM(L390,L395,L400,L405,L410,L415,L420)</f>
        <v>90.220999997537717</v>
      </c>
      <c r="M425" s="300">
        <f t="shared" ref="M425:N425" si="1132">SUM(M390,M395,M400,M405,M410,M415,M420)</f>
        <v>14.066999999930001</v>
      </c>
      <c r="N425" s="300">
        <f t="shared" si="1132"/>
        <v>23.981999999960539</v>
      </c>
      <c r="O425" s="300">
        <f t="shared" ref="O425:O426" si="1133">SUM(L425:N425)</f>
        <v>128.26999999742827</v>
      </c>
      <c r="P425" s="300"/>
      <c r="Q425" s="300">
        <f>SUM(Q390,Q395,Q400,Q405,Q410,Q415,Q420)</f>
        <v>93.075999998336584</v>
      </c>
      <c r="R425" s="300">
        <f t="shared" ref="R425:S425" si="1134">SUM(R390,R395,R400,R405,R410,R415,R420)</f>
        <v>15.189999999943105</v>
      </c>
      <c r="S425" s="300">
        <f t="shared" si="1134"/>
        <v>25.334000000975408</v>
      </c>
      <c r="T425" s="300">
        <f t="shared" ref="T425:T426" si="1135">SUM(Q425:S425)</f>
        <v>133.59999999925509</v>
      </c>
      <c r="U425" s="300"/>
      <c r="V425" s="300">
        <f>SUM(V390,V395,V400,V405,V410,V415,V420)</f>
        <v>97.43499999730696</v>
      </c>
      <c r="W425" s="300">
        <f t="shared" ref="W425:X425" si="1136">SUM(W390,W395,W400,W405,W410,W415,W420)</f>
        <v>17.135999999930959</v>
      </c>
      <c r="X425" s="300">
        <f t="shared" si="1136"/>
        <v>27.42800000048069</v>
      </c>
      <c r="Y425" s="300">
        <f t="shared" ref="Y425:Y426" si="1137">SUM(V425:X425)</f>
        <v>141.99899999771861</v>
      </c>
    </row>
    <row r="426" spans="1:25" x14ac:dyDescent="0.2">
      <c r="A426" s="264" t="s">
        <v>354</v>
      </c>
      <c r="B426" s="301">
        <f>SUM(B424:B425)</f>
        <v>137.82399999884234</v>
      </c>
      <c r="C426" s="301">
        <f t="shared" ref="C426" si="1138">SUM(C424:C425)</f>
        <v>38.444999999888509</v>
      </c>
      <c r="D426" s="301">
        <f t="shared" ref="D426" si="1139">SUM(D424:D425)</f>
        <v>59.023000000790681</v>
      </c>
      <c r="E426" s="301">
        <f t="shared" si="1129"/>
        <v>235.29199999952155</v>
      </c>
      <c r="F426" s="301"/>
      <c r="G426" s="301">
        <f>SUM(G424:G425)</f>
        <v>155.30899999695509</v>
      </c>
      <c r="H426" s="301">
        <f t="shared" ref="H426" si="1140">SUM(H424:H425)</f>
        <v>44.662999999679926</v>
      </c>
      <c r="I426" s="301">
        <f t="shared" ref="I426" si="1141">SUM(I424:I425)</f>
        <v>62.633999999380755</v>
      </c>
      <c r="J426" s="301">
        <f t="shared" si="1131"/>
        <v>262.60599999601578</v>
      </c>
      <c r="K426" s="301"/>
      <c r="L426" s="301">
        <f>SUM(L424:L425)</f>
        <v>152.71799999626788</v>
      </c>
      <c r="M426" s="301">
        <f t="shared" ref="M426" si="1142">SUM(M424:M425)</f>
        <v>52.299999999686875</v>
      </c>
      <c r="N426" s="301">
        <f t="shared" ref="N426" si="1143">SUM(N424:N425)</f>
        <v>51.689999999505389</v>
      </c>
      <c r="O426" s="301">
        <f t="shared" si="1133"/>
        <v>256.70799999546017</v>
      </c>
      <c r="P426" s="301"/>
      <c r="Q426" s="301">
        <f>SUM(Q424:Q425)</f>
        <v>159.41199999786625</v>
      </c>
      <c r="R426" s="301">
        <f t="shared" ref="R426" si="1144">SUM(R424:R425)</f>
        <v>56.218999999428824</v>
      </c>
      <c r="S426" s="301">
        <f t="shared" ref="S426" si="1145">SUM(S424:S425)</f>
        <v>55.524000000177679</v>
      </c>
      <c r="T426" s="301">
        <f t="shared" si="1135"/>
        <v>271.15499999747277</v>
      </c>
      <c r="U426" s="301"/>
      <c r="V426" s="301">
        <f>SUM(V424:V425)</f>
        <v>168.91799999824508</v>
      </c>
      <c r="W426" s="301">
        <f t="shared" ref="W426" si="1146">SUM(W424:W425)</f>
        <v>62.001000000304977</v>
      </c>
      <c r="X426" s="301">
        <f t="shared" ref="X426" si="1147">SUM(X424:X425)</f>
        <v>61.473000000868822</v>
      </c>
      <c r="Y426" s="301">
        <f t="shared" si="1137"/>
        <v>292.39199999941889</v>
      </c>
    </row>
    <row r="427" spans="1:25" x14ac:dyDescent="0.2">
      <c r="C427" s="263"/>
    </row>
    <row r="428" spans="1:25" x14ac:dyDescent="0.2">
      <c r="A428" s="261"/>
    </row>
    <row r="429" spans="1:25" x14ac:dyDescent="0.2">
      <c r="C429" s="263"/>
    </row>
    <row r="430" spans="1:25" ht="15" x14ac:dyDescent="0.25">
      <c r="A430" s="265" t="str">
        <f>"Industry 17 : "&amp; name!B20</f>
        <v>Industry 17 : Support services</v>
      </c>
      <c r="B430" s="371">
        <f>$B$5</f>
        <v>2015</v>
      </c>
      <c r="C430" s="371"/>
      <c r="D430" s="371"/>
      <c r="E430" s="371"/>
      <c r="F430" s="320"/>
      <c r="G430" s="371">
        <f>$G$5</f>
        <v>2019</v>
      </c>
      <c r="H430" s="371"/>
      <c r="I430" s="371"/>
      <c r="J430" s="371"/>
      <c r="K430" s="320"/>
      <c r="L430" s="371">
        <f>$L$5</f>
        <v>2020</v>
      </c>
      <c r="M430" s="371"/>
      <c r="N430" s="371"/>
      <c r="O430" s="371"/>
      <c r="P430" s="318"/>
      <c r="Q430" s="371">
        <f>$Q$5</f>
        <v>2025</v>
      </c>
      <c r="R430" s="371"/>
      <c r="S430" s="371"/>
      <c r="T430" s="371"/>
      <c r="U430" s="320"/>
      <c r="V430" s="371">
        <f>$V$5</f>
        <v>2035</v>
      </c>
      <c r="W430" s="371"/>
      <c r="X430" s="371"/>
      <c r="Y430" s="371"/>
    </row>
    <row r="431" spans="1:25" x14ac:dyDescent="0.2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2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x14ac:dyDescent="0.2">
      <c r="A433" s="261" t="str">
        <f>name!A61</f>
        <v>Rental and leasing</v>
      </c>
      <c r="C433" s="263"/>
    </row>
    <row r="434" spans="1:25" x14ac:dyDescent="0.2">
      <c r="A434" s="260" t="s">
        <v>356</v>
      </c>
      <c r="B434" s="300">
        <v>2.4089999999748444</v>
      </c>
      <c r="C434" s="300">
        <v>0.57800000000610152</v>
      </c>
      <c r="D434" s="300">
        <v>0.55000000000337834</v>
      </c>
      <c r="E434" s="300">
        <f>SUM(B434:D434)</f>
        <v>3.5369999999843245</v>
      </c>
      <c r="F434" s="300"/>
      <c r="G434" s="300">
        <v>2.3519999999889891</v>
      </c>
      <c r="H434" s="300">
        <v>0.8530000000145842</v>
      </c>
      <c r="I434" s="300">
        <v>0.7229999999972736</v>
      </c>
      <c r="J434" s="300">
        <f>SUM(G434:I434)</f>
        <v>3.9280000000008468</v>
      </c>
      <c r="K434" s="300"/>
      <c r="L434" s="300">
        <v>2.6069999999892062</v>
      </c>
      <c r="M434" s="300">
        <v>0.7020000000127985</v>
      </c>
      <c r="N434" s="300">
        <v>0.73599999999705012</v>
      </c>
      <c r="O434" s="300">
        <f>SUM(L434:N434)</f>
        <v>4.0449999999990549</v>
      </c>
      <c r="P434" s="300"/>
      <c r="Q434" s="300">
        <v>2.9470000000908176</v>
      </c>
      <c r="R434" s="300">
        <v>0.76400000002650759</v>
      </c>
      <c r="S434" s="300">
        <v>0.80399999999295713</v>
      </c>
      <c r="T434" s="300">
        <f>SUM(Q434:S434)</f>
        <v>4.5150000001102821</v>
      </c>
      <c r="U434" s="300"/>
      <c r="V434" s="300">
        <v>3.3009999999748798</v>
      </c>
      <c r="W434" s="300">
        <v>0.80899999999772565</v>
      </c>
      <c r="X434" s="300">
        <v>0.88900000000382207</v>
      </c>
      <c r="Y434" s="300">
        <f>SUM(V434:X434)</f>
        <v>4.9989999999764274</v>
      </c>
    </row>
    <row r="435" spans="1:25" x14ac:dyDescent="0.2">
      <c r="A435" s="260" t="s">
        <v>355</v>
      </c>
      <c r="B435" s="300">
        <v>7.4689999999967709</v>
      </c>
      <c r="C435" s="300">
        <v>0.96700000000725861</v>
      </c>
      <c r="D435" s="300">
        <v>1.4660000000170084</v>
      </c>
      <c r="E435" s="300">
        <f t="shared" ref="E435:E436" si="1148">SUM(B435:D435)</f>
        <v>9.9020000000210366</v>
      </c>
      <c r="F435" s="300"/>
      <c r="G435" s="300">
        <v>7.2520000000023108</v>
      </c>
      <c r="H435" s="300">
        <v>0.9810000000079433</v>
      </c>
      <c r="I435" s="300">
        <v>1.9139999999954969</v>
      </c>
      <c r="J435" s="300">
        <f t="shared" ref="J435:J436" si="1149">SUM(G435:I435)</f>
        <v>10.14700000000575</v>
      </c>
      <c r="K435" s="300"/>
      <c r="L435" s="300">
        <v>7.1360000000097283</v>
      </c>
      <c r="M435" s="300">
        <v>0.88300000000321155</v>
      </c>
      <c r="N435" s="300">
        <v>1.937000000021359</v>
      </c>
      <c r="O435" s="300">
        <f t="shared" ref="O435:O436" si="1150">SUM(L435:N435)</f>
        <v>9.9560000000342974</v>
      </c>
      <c r="P435" s="300"/>
      <c r="Q435" s="300">
        <v>7.9230000000245866</v>
      </c>
      <c r="R435" s="300">
        <v>0.97800000000487952</v>
      </c>
      <c r="S435" s="300">
        <v>2.1160000000567729</v>
      </c>
      <c r="T435" s="300">
        <f t="shared" ref="T435:T436" si="1151">SUM(Q435:S435)</f>
        <v>11.017000000086238</v>
      </c>
      <c r="U435" s="300"/>
      <c r="V435" s="300">
        <v>8.6820000000284043</v>
      </c>
      <c r="W435" s="300">
        <v>1.0620000000067222</v>
      </c>
      <c r="X435" s="300">
        <v>2.3270000000436246</v>
      </c>
      <c r="Y435" s="300">
        <f t="shared" ref="Y435:Y436" si="1152">SUM(V435:X435)</f>
        <v>12.071000000078751</v>
      </c>
    </row>
    <row r="436" spans="1:25" x14ac:dyDescent="0.2">
      <c r="A436" s="260" t="s">
        <v>354</v>
      </c>
      <c r="B436" s="300">
        <f>SUM(B434:B435)</f>
        <v>9.8779999999716157</v>
      </c>
      <c r="C436" s="300">
        <f t="shared" ref="C436" si="1153">SUM(C434:C435)</f>
        <v>1.5450000000133601</v>
      </c>
      <c r="D436" s="300">
        <f t="shared" ref="D436" si="1154">SUM(D434:D435)</f>
        <v>2.0160000000203868</v>
      </c>
      <c r="E436" s="300">
        <f t="shared" si="1148"/>
        <v>13.439000000005363</v>
      </c>
      <c r="F436" s="300"/>
      <c r="G436" s="300">
        <f>SUM(G434:G435)</f>
        <v>9.6039999999913004</v>
      </c>
      <c r="H436" s="300">
        <f t="shared" ref="H436" si="1155">SUM(H434:H435)</f>
        <v>1.8340000000225274</v>
      </c>
      <c r="I436" s="300">
        <f t="shared" ref="I436" si="1156">SUM(I434:I435)</f>
        <v>2.6369999999927707</v>
      </c>
      <c r="J436" s="300">
        <f t="shared" si="1149"/>
        <v>14.075000000006598</v>
      </c>
      <c r="K436" s="300"/>
      <c r="L436" s="300">
        <f>SUM(L434:L435)</f>
        <v>9.7429999999989345</v>
      </c>
      <c r="M436" s="300">
        <f t="shared" ref="M436" si="1157">SUM(M434:M435)</f>
        <v>1.58500000001601</v>
      </c>
      <c r="N436" s="300">
        <f t="shared" ref="N436" si="1158">SUM(N434:N435)</f>
        <v>2.6730000000184093</v>
      </c>
      <c r="O436" s="300">
        <f t="shared" si="1150"/>
        <v>14.001000000033354</v>
      </c>
      <c r="P436" s="300"/>
      <c r="Q436" s="300">
        <f>SUM(Q434:Q435)</f>
        <v>10.870000000115404</v>
      </c>
      <c r="R436" s="300">
        <f t="shared" ref="R436" si="1159">SUM(R434:R435)</f>
        <v>1.7420000000313871</v>
      </c>
      <c r="S436" s="300">
        <f t="shared" ref="S436" si="1160">SUM(S434:S435)</f>
        <v>2.9200000000497299</v>
      </c>
      <c r="T436" s="300">
        <f t="shared" si="1151"/>
        <v>15.532000000196522</v>
      </c>
      <c r="U436" s="300"/>
      <c r="V436" s="300">
        <f>SUM(V434:V435)</f>
        <v>11.983000000003283</v>
      </c>
      <c r="W436" s="300">
        <f t="shared" ref="W436" si="1161">SUM(W434:W435)</f>
        <v>1.871000000004448</v>
      </c>
      <c r="X436" s="300">
        <f t="shared" ref="X436" si="1162">SUM(X434:X435)</f>
        <v>3.2160000000474467</v>
      </c>
      <c r="Y436" s="300">
        <f t="shared" si="1152"/>
        <v>17.070000000055177</v>
      </c>
    </row>
    <row r="437" spans="1:25" x14ac:dyDescent="0.2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x14ac:dyDescent="0.2">
      <c r="A438" s="261" t="str">
        <f>name!A62</f>
        <v>Employment activities</v>
      </c>
      <c r="C438" s="263"/>
    </row>
    <row r="439" spans="1:25" x14ac:dyDescent="0.2">
      <c r="A439" s="260" t="s">
        <v>356</v>
      </c>
      <c r="B439" s="300">
        <v>11.897999999880417</v>
      </c>
      <c r="C439" s="300">
        <v>8.8119999999470764</v>
      </c>
      <c r="D439" s="300">
        <v>5.1780000000931805</v>
      </c>
      <c r="E439" s="300">
        <f>SUM(B439:D439)</f>
        <v>25.887999999920677</v>
      </c>
      <c r="F439" s="300"/>
      <c r="G439" s="300">
        <v>12.424000000034793</v>
      </c>
      <c r="H439" s="300">
        <v>10.963000000093565</v>
      </c>
      <c r="I439" s="300">
        <v>7.1020000000733523</v>
      </c>
      <c r="J439" s="300">
        <f>SUM(G439:I439)</f>
        <v>30.489000000201713</v>
      </c>
      <c r="K439" s="300"/>
      <c r="L439" s="300">
        <v>13.772000000026598</v>
      </c>
      <c r="M439" s="300">
        <v>9.0170000000486468</v>
      </c>
      <c r="N439" s="300">
        <v>7.2329999998753882</v>
      </c>
      <c r="O439" s="300">
        <f>SUM(L439:N439)</f>
        <v>30.021999999950634</v>
      </c>
      <c r="P439" s="300"/>
      <c r="Q439" s="300">
        <v>15.564000000381373</v>
      </c>
      <c r="R439" s="300">
        <v>9.822000000054885</v>
      </c>
      <c r="S439" s="300">
        <v>7.8959999999617789</v>
      </c>
      <c r="T439" s="300">
        <f>SUM(Q439:S439)</f>
        <v>33.282000000398035</v>
      </c>
      <c r="U439" s="300"/>
      <c r="V439" s="300">
        <v>17.435999999865341</v>
      </c>
      <c r="W439" s="300">
        <v>10.396000000004618</v>
      </c>
      <c r="X439" s="300">
        <v>8.7310000000108037</v>
      </c>
      <c r="Y439" s="300">
        <f>SUM(V439:X439)</f>
        <v>36.562999999880759</v>
      </c>
    </row>
    <row r="440" spans="1:25" x14ac:dyDescent="0.2">
      <c r="A440" s="260" t="s">
        <v>355</v>
      </c>
      <c r="B440" s="300">
        <v>22.539000000044073</v>
      </c>
      <c r="C440" s="300">
        <v>10.337000000137861</v>
      </c>
      <c r="D440" s="300">
        <v>4.5850000000638209</v>
      </c>
      <c r="E440" s="300">
        <f t="shared" ref="E440:E441" si="1163">SUM(B440:D440)</f>
        <v>37.461000000245754</v>
      </c>
      <c r="F440" s="300"/>
      <c r="G440" s="300">
        <v>23.410000000060343</v>
      </c>
      <c r="H440" s="300">
        <v>8.8430000001190177</v>
      </c>
      <c r="I440" s="300">
        <v>6.2490000000381896</v>
      </c>
      <c r="J440" s="300">
        <f t="shared" ref="J440:J441" si="1164">SUM(G440:I440)</f>
        <v>38.502000000217549</v>
      </c>
      <c r="K440" s="300"/>
      <c r="L440" s="300">
        <v>23.035000000130875</v>
      </c>
      <c r="M440" s="300">
        <v>7.9580000000816273</v>
      </c>
      <c r="N440" s="300">
        <v>6.324000000074137</v>
      </c>
      <c r="O440" s="300">
        <f t="shared" ref="O440:O441" si="1165">SUM(L440:N440)</f>
        <v>37.31700000028664</v>
      </c>
      <c r="P440" s="300"/>
      <c r="Q440" s="300">
        <v>25.57300000015633</v>
      </c>
      <c r="R440" s="300">
        <v>8.8170000000815492</v>
      </c>
      <c r="S440" s="300">
        <v>6.9110000001938481</v>
      </c>
      <c r="T440" s="300">
        <f t="shared" ref="T440:T441" si="1166">SUM(Q440:S440)</f>
        <v>41.301000000431728</v>
      </c>
      <c r="U440" s="300"/>
      <c r="V440" s="300">
        <v>28.024000000224099</v>
      </c>
      <c r="W440" s="300">
        <v>9.5740000001407068</v>
      </c>
      <c r="X440" s="300">
        <v>7.5970000001505023</v>
      </c>
      <c r="Y440" s="300">
        <f t="shared" ref="Y440:Y441" si="1167">SUM(V440:X440)</f>
        <v>45.195000000515307</v>
      </c>
    </row>
    <row r="441" spans="1:25" x14ac:dyDescent="0.2">
      <c r="A441" s="260" t="s">
        <v>354</v>
      </c>
      <c r="B441" s="300">
        <f>SUM(B439:B440)</f>
        <v>34.436999999924488</v>
      </c>
      <c r="C441" s="300">
        <f t="shared" ref="C441" si="1168">SUM(C439:C440)</f>
        <v>19.149000000084939</v>
      </c>
      <c r="D441" s="300">
        <f t="shared" ref="D441" si="1169">SUM(D439:D440)</f>
        <v>9.7630000001570014</v>
      </c>
      <c r="E441" s="300">
        <f t="shared" si="1163"/>
        <v>63.349000000166427</v>
      </c>
      <c r="F441" s="300"/>
      <c r="G441" s="300">
        <f>SUM(G439:G440)</f>
        <v>35.834000000095138</v>
      </c>
      <c r="H441" s="300">
        <f t="shared" ref="H441" si="1170">SUM(H439:H440)</f>
        <v>19.806000000212585</v>
      </c>
      <c r="I441" s="300">
        <f t="shared" ref="I441" si="1171">SUM(I439:I440)</f>
        <v>13.351000000111542</v>
      </c>
      <c r="J441" s="300">
        <f t="shared" si="1164"/>
        <v>68.991000000419263</v>
      </c>
      <c r="K441" s="300"/>
      <c r="L441" s="300">
        <f>SUM(L439:L440)</f>
        <v>36.807000000157473</v>
      </c>
      <c r="M441" s="300">
        <f t="shared" ref="M441" si="1172">SUM(M439:M440)</f>
        <v>16.975000000130272</v>
      </c>
      <c r="N441" s="300">
        <f t="shared" ref="N441" si="1173">SUM(N439:N440)</f>
        <v>13.556999999949525</v>
      </c>
      <c r="O441" s="300">
        <f t="shared" si="1165"/>
        <v>67.339000000237263</v>
      </c>
      <c r="P441" s="300"/>
      <c r="Q441" s="300">
        <f>SUM(Q439:Q440)</f>
        <v>41.137000000537704</v>
      </c>
      <c r="R441" s="300">
        <f t="shared" ref="R441" si="1174">SUM(R439:R440)</f>
        <v>18.639000000136434</v>
      </c>
      <c r="S441" s="300">
        <f t="shared" ref="S441" si="1175">SUM(S439:S440)</f>
        <v>14.807000000155627</v>
      </c>
      <c r="T441" s="300">
        <f t="shared" si="1166"/>
        <v>74.58300000082977</v>
      </c>
      <c r="U441" s="300"/>
      <c r="V441" s="300">
        <f>SUM(V439:V440)</f>
        <v>45.460000000089437</v>
      </c>
      <c r="W441" s="300">
        <f t="shared" ref="W441" si="1176">SUM(W439:W440)</f>
        <v>19.970000000145326</v>
      </c>
      <c r="X441" s="300">
        <f t="shared" ref="X441" si="1177">SUM(X439:X440)</f>
        <v>16.328000000161307</v>
      </c>
      <c r="Y441" s="300">
        <f t="shared" si="1167"/>
        <v>81.758000000396081</v>
      </c>
    </row>
    <row r="442" spans="1:25" x14ac:dyDescent="0.2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x14ac:dyDescent="0.2">
      <c r="A443" s="261" t="str">
        <f>name!A63</f>
        <v>Travel, etc</v>
      </c>
      <c r="C443" s="263"/>
    </row>
    <row r="444" spans="1:25" x14ac:dyDescent="0.2">
      <c r="A444" s="260" t="s">
        <v>356</v>
      </c>
      <c r="B444" s="300">
        <v>1.5869999999723217</v>
      </c>
      <c r="C444" s="300">
        <v>1.0079999999989753</v>
      </c>
      <c r="D444" s="300">
        <v>0.92800000002153105</v>
      </c>
      <c r="E444" s="300">
        <f>SUM(B444:D444)</f>
        <v>3.5229999999928281</v>
      </c>
      <c r="F444" s="300"/>
      <c r="G444" s="300">
        <v>1.0369999999978623</v>
      </c>
      <c r="H444" s="300">
        <v>0.77000000001498181</v>
      </c>
      <c r="I444" s="300">
        <v>0.79800000001440352</v>
      </c>
      <c r="J444" s="300">
        <f>SUM(G444:I444)</f>
        <v>2.6050000000272475</v>
      </c>
      <c r="K444" s="300"/>
      <c r="L444" s="300">
        <v>1.1499999999975918</v>
      </c>
      <c r="M444" s="300">
        <v>0.63300000001098167</v>
      </c>
      <c r="N444" s="300">
        <v>0.81199999997876549</v>
      </c>
      <c r="O444" s="300">
        <f>SUM(L444:N444)</f>
        <v>2.5949999999873388</v>
      </c>
      <c r="P444" s="300"/>
      <c r="Q444" s="300">
        <v>1.299000000062521</v>
      </c>
      <c r="R444" s="300">
        <v>0.69000000002283934</v>
      </c>
      <c r="S444" s="300">
        <v>0.88699999999438239</v>
      </c>
      <c r="T444" s="300">
        <f>SUM(Q444:S444)</f>
        <v>2.8760000000797428</v>
      </c>
      <c r="U444" s="300"/>
      <c r="V444" s="300">
        <v>1.4549999999804781</v>
      </c>
      <c r="W444" s="300">
        <v>0.72999999999463028</v>
      </c>
      <c r="X444" s="300">
        <v>0.98100000000070409</v>
      </c>
      <c r="Y444" s="300">
        <f>SUM(V444:X444)</f>
        <v>3.1659999999758126</v>
      </c>
    </row>
    <row r="445" spans="1:25" x14ac:dyDescent="0.2">
      <c r="A445" s="260" t="s">
        <v>355</v>
      </c>
      <c r="B445" s="300">
        <v>2.225000000001081</v>
      </c>
      <c r="C445" s="300">
        <v>1.1910000000107719</v>
      </c>
      <c r="D445" s="300">
        <v>0.2650000000034648</v>
      </c>
      <c r="E445" s="300">
        <f t="shared" ref="E445:E446" si="1178">SUM(B445:D445)</f>
        <v>3.681000000015318</v>
      </c>
      <c r="F445" s="300"/>
      <c r="G445" s="300">
        <v>1.4470000000021197</v>
      </c>
      <c r="H445" s="300">
        <v>0.62500000000586575</v>
      </c>
      <c r="I445" s="300">
        <v>0.22699999999936252</v>
      </c>
      <c r="J445" s="300">
        <f t="shared" ref="J445:J446" si="1179">SUM(G445:I445)</f>
        <v>2.2990000000073483</v>
      </c>
      <c r="K445" s="300"/>
      <c r="L445" s="300">
        <v>1.424000000006453</v>
      </c>
      <c r="M445" s="300">
        <v>0.56300000000553629</v>
      </c>
      <c r="N445" s="300">
        <v>0.22900000000234441</v>
      </c>
      <c r="O445" s="300">
        <f t="shared" ref="O445:O446" si="1180">SUM(L445:N445)</f>
        <v>2.2160000000143336</v>
      </c>
      <c r="P445" s="300"/>
      <c r="Q445" s="300">
        <v>1.580000000009385</v>
      </c>
      <c r="R445" s="300">
        <v>0.62400000000546296</v>
      </c>
      <c r="S445" s="300">
        <v>0.2510000000078686</v>
      </c>
      <c r="T445" s="300">
        <f t="shared" ref="T445:T446" si="1181">SUM(Q445:S445)</f>
        <v>2.4550000000227166</v>
      </c>
      <c r="U445" s="300"/>
      <c r="V445" s="300">
        <v>1.732000000010173</v>
      </c>
      <c r="W445" s="300">
        <v>0.67700000000868077</v>
      </c>
      <c r="X445" s="300">
        <v>0.27600000000474217</v>
      </c>
      <c r="Y445" s="300">
        <f t="shared" ref="Y445:Y446" si="1182">SUM(V445:X445)</f>
        <v>2.6850000000235958</v>
      </c>
    </row>
    <row r="446" spans="1:25" x14ac:dyDescent="0.2">
      <c r="A446" s="260" t="s">
        <v>354</v>
      </c>
      <c r="B446" s="300">
        <f>SUM(B444:B445)</f>
        <v>3.8119999999734029</v>
      </c>
      <c r="C446" s="300">
        <f t="shared" ref="C446" si="1183">SUM(C444:C445)</f>
        <v>2.1990000000097472</v>
      </c>
      <c r="D446" s="300">
        <f t="shared" ref="D446" si="1184">SUM(D444:D445)</f>
        <v>1.1930000000249958</v>
      </c>
      <c r="E446" s="300">
        <f t="shared" si="1178"/>
        <v>7.2040000000081461</v>
      </c>
      <c r="F446" s="300"/>
      <c r="G446" s="300">
        <f>SUM(G444:G445)</f>
        <v>2.4839999999999822</v>
      </c>
      <c r="H446" s="300">
        <f t="shared" ref="H446" si="1185">SUM(H444:H445)</f>
        <v>1.3950000000208476</v>
      </c>
      <c r="I446" s="300">
        <f t="shared" ref="I446" si="1186">SUM(I444:I445)</f>
        <v>1.025000000013766</v>
      </c>
      <c r="J446" s="300">
        <f t="shared" si="1179"/>
        <v>4.9040000000345962</v>
      </c>
      <c r="K446" s="300"/>
      <c r="L446" s="300">
        <f>SUM(L444:L445)</f>
        <v>2.5740000000040446</v>
      </c>
      <c r="M446" s="300">
        <f t="shared" ref="M446" si="1187">SUM(M444:M445)</f>
        <v>1.1960000000165181</v>
      </c>
      <c r="N446" s="300">
        <f t="shared" ref="N446" si="1188">SUM(N444:N445)</f>
        <v>1.0409999999811099</v>
      </c>
      <c r="O446" s="300">
        <f t="shared" si="1180"/>
        <v>4.8110000000016724</v>
      </c>
      <c r="P446" s="300"/>
      <c r="Q446" s="300">
        <f>SUM(Q444:Q445)</f>
        <v>2.879000000071906</v>
      </c>
      <c r="R446" s="300">
        <f t="shared" ref="R446" si="1189">SUM(R444:R445)</f>
        <v>1.3140000000283023</v>
      </c>
      <c r="S446" s="300">
        <f t="shared" ref="S446" si="1190">SUM(S444:S445)</f>
        <v>1.138000000002251</v>
      </c>
      <c r="T446" s="300">
        <f t="shared" si="1181"/>
        <v>5.3310000001024598</v>
      </c>
      <c r="U446" s="300"/>
      <c r="V446" s="300">
        <f>SUM(V444:V445)</f>
        <v>3.1869999999906513</v>
      </c>
      <c r="W446" s="300">
        <f t="shared" ref="W446" si="1191">SUM(W444:W445)</f>
        <v>1.4070000000033112</v>
      </c>
      <c r="X446" s="300">
        <f t="shared" ref="X446" si="1192">SUM(X444:X445)</f>
        <v>1.2570000000054462</v>
      </c>
      <c r="Y446" s="300">
        <f t="shared" si="1182"/>
        <v>5.8509999999994085</v>
      </c>
    </row>
    <row r="447" spans="1:25" x14ac:dyDescent="0.2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x14ac:dyDescent="0.2">
      <c r="A448" s="261" t="str">
        <f>name!A64</f>
        <v>Security, etc</v>
      </c>
      <c r="C448" s="263"/>
    </row>
    <row r="449" spans="1:25" x14ac:dyDescent="0.2">
      <c r="A449" s="260" t="s">
        <v>356</v>
      </c>
      <c r="B449" s="300">
        <v>2.1469999999759826</v>
      </c>
      <c r="C449" s="300">
        <v>0.63099999999574863</v>
      </c>
      <c r="D449" s="300">
        <v>0.52900000000818559</v>
      </c>
      <c r="E449" s="300">
        <f>SUM(B449:D449)</f>
        <v>3.3069999999799169</v>
      </c>
      <c r="F449" s="300"/>
      <c r="G449" s="300">
        <v>2.2330000000097749</v>
      </c>
      <c r="H449" s="300">
        <v>1.0160000000096336</v>
      </c>
      <c r="I449" s="300">
        <v>0.74800000000888922</v>
      </c>
      <c r="J449" s="300">
        <f>SUM(G449:I449)</f>
        <v>3.9970000000282977</v>
      </c>
      <c r="K449" s="300"/>
      <c r="L449" s="300">
        <v>2.4750000000076575</v>
      </c>
      <c r="M449" s="300">
        <v>0.83600000000496766</v>
      </c>
      <c r="N449" s="300">
        <v>0.76199999998844037</v>
      </c>
      <c r="O449" s="300">
        <f>SUM(L449:N449)</f>
        <v>4.0730000000010662</v>
      </c>
      <c r="P449" s="300"/>
      <c r="Q449" s="300">
        <v>2.7970000000790227</v>
      </c>
      <c r="R449" s="300">
        <v>0.91000000000556092</v>
      </c>
      <c r="S449" s="300">
        <v>0.83199999999714203</v>
      </c>
      <c r="T449" s="300">
        <f>SUM(Q449:S449)</f>
        <v>4.5390000000817254</v>
      </c>
      <c r="U449" s="300"/>
      <c r="V449" s="300">
        <v>3.1339999999688102</v>
      </c>
      <c r="W449" s="300">
        <v>0.96399999999999997</v>
      </c>
      <c r="X449" s="300">
        <v>0.91900000000068938</v>
      </c>
      <c r="Y449" s="300">
        <f>SUM(V449:X449)</f>
        <v>5.0169999999694994</v>
      </c>
    </row>
    <row r="450" spans="1:25" x14ac:dyDescent="0.2">
      <c r="A450" s="260" t="s">
        <v>355</v>
      </c>
      <c r="B450" s="300">
        <v>6.3520000000128496</v>
      </c>
      <c r="C450" s="300">
        <v>2.1780000000299258</v>
      </c>
      <c r="D450" s="300">
        <v>1.4810000000180537</v>
      </c>
      <c r="E450" s="300">
        <f t="shared" ref="E450:E451" si="1193">SUM(B450:D450)</f>
        <v>10.011000000060829</v>
      </c>
      <c r="F450" s="300"/>
      <c r="G450" s="300">
        <v>6.5700000000173722</v>
      </c>
      <c r="H450" s="300">
        <v>2.4110000000334684</v>
      </c>
      <c r="I450" s="300">
        <v>2.0820000000150292</v>
      </c>
      <c r="J450" s="300">
        <f t="shared" ref="J450:J451" si="1194">SUM(G450:I450)</f>
        <v>11.06300000006587</v>
      </c>
      <c r="K450" s="300"/>
      <c r="L450" s="300">
        <v>6.4650000000377394</v>
      </c>
      <c r="M450" s="300">
        <v>2.1690000000221614</v>
      </c>
      <c r="N450" s="300">
        <v>2.1080000000243531</v>
      </c>
      <c r="O450" s="300">
        <f t="shared" ref="O450:O451" si="1195">SUM(L450:N450)</f>
        <v>10.742000000084253</v>
      </c>
      <c r="P450" s="300"/>
      <c r="Q450" s="300">
        <v>7.177000000044802</v>
      </c>
      <c r="R450" s="300">
        <v>2.4040000000223691</v>
      </c>
      <c r="S450" s="300">
        <v>2.3030000000559401</v>
      </c>
      <c r="T450" s="300">
        <f t="shared" ref="T450:T451" si="1196">SUM(Q450:S450)</f>
        <v>11.884000000123111</v>
      </c>
      <c r="U450" s="300"/>
      <c r="V450" s="300">
        <v>7.8650000000639384</v>
      </c>
      <c r="W450" s="300">
        <v>2.6100000000388817</v>
      </c>
      <c r="X450" s="300">
        <v>2.5320000000471601</v>
      </c>
      <c r="Y450" s="300">
        <f t="shared" ref="Y450:Y451" si="1197">SUM(V450:X450)</f>
        <v>13.007000000149981</v>
      </c>
    </row>
    <row r="451" spans="1:25" x14ac:dyDescent="0.2">
      <c r="A451" s="260" t="s">
        <v>354</v>
      </c>
      <c r="B451" s="300">
        <f>SUM(B449:B450)</f>
        <v>8.4989999999888326</v>
      </c>
      <c r="C451" s="300">
        <f t="shared" ref="C451" si="1198">SUM(C449:C450)</f>
        <v>2.8090000000256743</v>
      </c>
      <c r="D451" s="300">
        <f t="shared" ref="D451" si="1199">SUM(D449:D450)</f>
        <v>2.0100000000262392</v>
      </c>
      <c r="E451" s="300">
        <f t="shared" si="1193"/>
        <v>13.318000000040747</v>
      </c>
      <c r="F451" s="300"/>
      <c r="G451" s="300">
        <f>SUM(G449:G450)</f>
        <v>8.8030000000271471</v>
      </c>
      <c r="H451" s="300">
        <f t="shared" ref="H451" si="1200">SUM(H449:H450)</f>
        <v>3.427000000043102</v>
      </c>
      <c r="I451" s="300">
        <f t="shared" ref="I451" si="1201">SUM(I449:I450)</f>
        <v>2.8300000000239183</v>
      </c>
      <c r="J451" s="300">
        <f t="shared" si="1194"/>
        <v>15.060000000094167</v>
      </c>
      <c r="K451" s="300"/>
      <c r="L451" s="300">
        <f>SUM(L449:L450)</f>
        <v>8.9400000000453979</v>
      </c>
      <c r="M451" s="300">
        <f t="shared" ref="M451" si="1202">SUM(M449:M450)</f>
        <v>3.0050000000271293</v>
      </c>
      <c r="N451" s="300">
        <f t="shared" ref="N451" si="1203">SUM(N449:N450)</f>
        <v>2.8700000000127934</v>
      </c>
      <c r="O451" s="300">
        <f t="shared" si="1195"/>
        <v>14.81500000008532</v>
      </c>
      <c r="P451" s="300"/>
      <c r="Q451" s="300">
        <f>SUM(Q449:Q450)</f>
        <v>9.9740000001238247</v>
      </c>
      <c r="R451" s="300">
        <f t="shared" ref="R451" si="1204">SUM(R449:R450)</f>
        <v>3.3140000000279302</v>
      </c>
      <c r="S451" s="300">
        <f t="shared" ref="S451" si="1205">SUM(S449:S450)</f>
        <v>3.1350000000530822</v>
      </c>
      <c r="T451" s="300">
        <f t="shared" si="1196"/>
        <v>16.423000000204837</v>
      </c>
      <c r="U451" s="300"/>
      <c r="V451" s="300">
        <f>SUM(V449:V450)</f>
        <v>10.999000000032748</v>
      </c>
      <c r="W451" s="300">
        <f t="shared" ref="W451" si="1206">SUM(W449:W450)</f>
        <v>3.5740000000388816</v>
      </c>
      <c r="X451" s="300">
        <f t="shared" ref="X451" si="1207">SUM(X449:X450)</f>
        <v>3.4510000000478493</v>
      </c>
      <c r="Y451" s="300">
        <f t="shared" si="1197"/>
        <v>18.024000000119479</v>
      </c>
    </row>
    <row r="452" spans="1:25" x14ac:dyDescent="0.2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x14ac:dyDescent="0.2">
      <c r="A453" s="261" t="str">
        <f>name!A65</f>
        <v>Services to buildings</v>
      </c>
      <c r="C453" s="263"/>
    </row>
    <row r="454" spans="1:25" x14ac:dyDescent="0.2">
      <c r="A454" s="260" t="s">
        <v>356</v>
      </c>
      <c r="B454" s="300">
        <v>10.639999999897203</v>
      </c>
      <c r="C454" s="300">
        <v>21.35999999987985</v>
      </c>
      <c r="D454" s="300">
        <v>5.1550000000796929</v>
      </c>
      <c r="E454" s="300">
        <f>SUM(B454:D454)</f>
        <v>37.154999999856749</v>
      </c>
      <c r="F454" s="300"/>
      <c r="G454" s="300">
        <v>11.02200000003721</v>
      </c>
      <c r="H454" s="300">
        <v>25.211000000184253</v>
      </c>
      <c r="I454" s="300">
        <v>6.5270000000555264</v>
      </c>
      <c r="J454" s="300">
        <f>SUM(G454:I454)</f>
        <v>42.760000000276989</v>
      </c>
      <c r="K454" s="300"/>
      <c r="L454" s="300">
        <v>12.218000000025423</v>
      </c>
      <c r="M454" s="300">
        <v>20.735000000094374</v>
      </c>
      <c r="N454" s="300">
        <v>6.6469999998927971</v>
      </c>
      <c r="O454" s="300">
        <f>SUM(L454:N454)</f>
        <v>39.600000000012599</v>
      </c>
      <c r="P454" s="300"/>
      <c r="Q454" s="300">
        <v>13.808000000346196</v>
      </c>
      <c r="R454" s="300">
        <v>22.587000000134353</v>
      </c>
      <c r="S454" s="300">
        <v>7.2569999999502839</v>
      </c>
      <c r="T454" s="300">
        <f>SUM(Q454:S454)</f>
        <v>43.652000000430832</v>
      </c>
      <c r="U454" s="300"/>
      <c r="V454" s="300">
        <v>15.468999999858458</v>
      </c>
      <c r="W454" s="300">
        <v>23.906000000018963</v>
      </c>
      <c r="X454" s="300">
        <v>8.0240000000187379</v>
      </c>
      <c r="Y454" s="300">
        <f>SUM(V454:X454)</f>
        <v>47.398999999896155</v>
      </c>
    </row>
    <row r="455" spans="1:25" x14ac:dyDescent="0.2">
      <c r="A455" s="260" t="s">
        <v>355</v>
      </c>
      <c r="B455" s="300">
        <v>9.2630000000071124</v>
      </c>
      <c r="C455" s="300">
        <v>6.5470000000774187</v>
      </c>
      <c r="D455" s="300">
        <v>3.3620000000266472</v>
      </c>
      <c r="E455" s="300">
        <f t="shared" ref="E455:E456" si="1208">SUM(B455:D455)</f>
        <v>19.172000000111179</v>
      </c>
      <c r="F455" s="300"/>
      <c r="G455" s="300">
        <v>9.5450000000133279</v>
      </c>
      <c r="H455" s="300">
        <v>5.3130000000624449</v>
      </c>
      <c r="I455" s="300">
        <v>4.2300000000316773</v>
      </c>
      <c r="J455" s="300">
        <f t="shared" ref="J455:J456" si="1209">SUM(G455:I455)</f>
        <v>19.088000000107449</v>
      </c>
      <c r="K455" s="300"/>
      <c r="L455" s="300">
        <v>9.3920000000298796</v>
      </c>
      <c r="M455" s="300">
        <v>4.7820000000404201</v>
      </c>
      <c r="N455" s="300">
        <v>4.2810000000348287</v>
      </c>
      <c r="O455" s="300">
        <f t="shared" ref="O455:O456" si="1210">SUM(L455:N455)</f>
        <v>18.45500000010513</v>
      </c>
      <c r="P455" s="300"/>
      <c r="Q455" s="300">
        <v>10.427000000042213</v>
      </c>
      <c r="R455" s="300">
        <v>5.2980000000406768</v>
      </c>
      <c r="S455" s="300">
        <v>4.6780000000770166</v>
      </c>
      <c r="T455" s="300">
        <f t="shared" ref="T455:T456" si="1211">SUM(Q455:S455)</f>
        <v>20.403000000159906</v>
      </c>
      <c r="U455" s="300"/>
      <c r="V455" s="300">
        <v>11.426000000050704</v>
      </c>
      <c r="W455" s="300">
        <v>5.7520000000672535</v>
      </c>
      <c r="X455" s="300">
        <v>5.1430000000678522</v>
      </c>
      <c r="Y455" s="300">
        <f t="shared" ref="Y455:Y456" si="1212">SUM(V455:X455)</f>
        <v>22.321000000185812</v>
      </c>
    </row>
    <row r="456" spans="1:25" x14ac:dyDescent="0.2">
      <c r="A456" s="260" t="s">
        <v>354</v>
      </c>
      <c r="B456" s="300">
        <f>SUM(B454:B455)</f>
        <v>19.902999999904317</v>
      </c>
      <c r="C456" s="300">
        <f t="shared" ref="C456" si="1213">SUM(C454:C455)</f>
        <v>27.906999999957268</v>
      </c>
      <c r="D456" s="300">
        <f t="shared" ref="D456" si="1214">SUM(D454:D455)</f>
        <v>8.5170000001063393</v>
      </c>
      <c r="E456" s="300">
        <f t="shared" si="1208"/>
        <v>56.326999999967924</v>
      </c>
      <c r="F456" s="300"/>
      <c r="G456" s="300">
        <f>SUM(G454:G455)</f>
        <v>20.567000000050538</v>
      </c>
      <c r="H456" s="300">
        <f t="shared" ref="H456" si="1215">SUM(H454:H455)</f>
        <v>30.524000000246698</v>
      </c>
      <c r="I456" s="300">
        <f t="shared" ref="I456" si="1216">SUM(I454:I455)</f>
        <v>10.757000000087203</v>
      </c>
      <c r="J456" s="300">
        <f t="shared" si="1209"/>
        <v>61.848000000384438</v>
      </c>
      <c r="K456" s="300"/>
      <c r="L456" s="300">
        <f>SUM(L454:L455)</f>
        <v>21.610000000055301</v>
      </c>
      <c r="M456" s="300">
        <f t="shared" ref="M456" si="1217">SUM(M454:M455)</f>
        <v>25.517000000134793</v>
      </c>
      <c r="N456" s="300">
        <f t="shared" ref="N456" si="1218">SUM(N454:N455)</f>
        <v>10.927999999927625</v>
      </c>
      <c r="O456" s="300">
        <f t="shared" si="1210"/>
        <v>58.055000000117715</v>
      </c>
      <c r="P456" s="300"/>
      <c r="Q456" s="300">
        <f>SUM(Q454:Q455)</f>
        <v>24.235000000388411</v>
      </c>
      <c r="R456" s="300">
        <f t="shared" ref="R456" si="1219">SUM(R454:R455)</f>
        <v>27.88500000017503</v>
      </c>
      <c r="S456" s="300">
        <f t="shared" ref="S456" si="1220">SUM(S454:S455)</f>
        <v>11.935000000027301</v>
      </c>
      <c r="T456" s="300">
        <f t="shared" si="1211"/>
        <v>64.055000000590738</v>
      </c>
      <c r="U456" s="300"/>
      <c r="V456" s="300">
        <f>SUM(V454:V455)</f>
        <v>26.89499999990916</v>
      </c>
      <c r="W456" s="300">
        <f t="shared" ref="W456" si="1221">SUM(W454:W455)</f>
        <v>29.658000000086219</v>
      </c>
      <c r="X456" s="300">
        <f t="shared" ref="X456" si="1222">SUM(X454:X455)</f>
        <v>13.16700000008659</v>
      </c>
      <c r="Y456" s="300">
        <f t="shared" si="1212"/>
        <v>69.720000000081967</v>
      </c>
    </row>
    <row r="457" spans="1:25" x14ac:dyDescent="0.2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x14ac:dyDescent="0.2">
      <c r="A458" s="261" t="str">
        <f>name!A66</f>
        <v>Office administrative</v>
      </c>
      <c r="C458" s="263"/>
    </row>
    <row r="459" spans="1:25" x14ac:dyDescent="0.2">
      <c r="A459" s="260" t="s">
        <v>356</v>
      </c>
      <c r="B459" s="300">
        <v>6.5739999999264516</v>
      </c>
      <c r="C459" s="300">
        <v>4.1519999999720296</v>
      </c>
      <c r="D459" s="300">
        <v>4.3240000000669081</v>
      </c>
      <c r="E459" s="300">
        <f>SUM(B459:D459)</f>
        <v>15.049999999965388</v>
      </c>
      <c r="F459" s="300"/>
      <c r="G459" s="300">
        <v>5.2830000000231232</v>
      </c>
      <c r="H459" s="300">
        <v>3.9670000000376104</v>
      </c>
      <c r="I459" s="300">
        <v>4.6050000000547291</v>
      </c>
      <c r="J459" s="300">
        <f>SUM(G459:I459)</f>
        <v>13.855000000115464</v>
      </c>
      <c r="K459" s="300"/>
      <c r="L459" s="300">
        <v>5.8560000000181169</v>
      </c>
      <c r="M459" s="300">
        <v>3.2620000000193787</v>
      </c>
      <c r="N459" s="300">
        <v>4.6899999999288537</v>
      </c>
      <c r="O459" s="300">
        <f>SUM(L459:N459)</f>
        <v>13.807999999966349</v>
      </c>
      <c r="P459" s="300"/>
      <c r="Q459" s="300">
        <v>6.6190000001870057</v>
      </c>
      <c r="R459" s="300">
        <v>3.5540000000217167</v>
      </c>
      <c r="S459" s="300">
        <v>5.1199999999824088</v>
      </c>
      <c r="T459" s="300">
        <f>SUM(Q459:S459)</f>
        <v>15.293000000191132</v>
      </c>
      <c r="U459" s="300"/>
      <c r="V459" s="300">
        <v>7.4149999999262013</v>
      </c>
      <c r="W459" s="300">
        <v>3.7610000000000046</v>
      </c>
      <c r="X459" s="300">
        <v>5.6610000000042389</v>
      </c>
      <c r="Y459" s="300">
        <f>SUM(V459:X459)</f>
        <v>16.836999999930445</v>
      </c>
    </row>
    <row r="460" spans="1:25" x14ac:dyDescent="0.2">
      <c r="A460" s="260" t="s">
        <v>355</v>
      </c>
      <c r="B460" s="300">
        <v>21.953000000044423</v>
      </c>
      <c r="C460" s="300">
        <v>6.6710000000916567</v>
      </c>
      <c r="D460" s="300">
        <v>3.2590000000397272</v>
      </c>
      <c r="E460" s="300">
        <f t="shared" ref="E460:E461" si="1223">SUM(B460:D460)</f>
        <v>31.883000000175805</v>
      </c>
      <c r="F460" s="300"/>
      <c r="G460" s="300">
        <v>17.550000000046413</v>
      </c>
      <c r="H460" s="300">
        <v>4.3830000000608438</v>
      </c>
      <c r="I460" s="300">
        <v>3.4490000000248968</v>
      </c>
      <c r="J460" s="300">
        <f t="shared" ref="J460:J461" si="1224">SUM(G460:I460)</f>
        <v>25.382000000132152</v>
      </c>
      <c r="K460" s="300"/>
      <c r="L460" s="300">
        <v>17.269000000100796</v>
      </c>
      <c r="M460" s="300">
        <v>3.9440000000402957</v>
      </c>
      <c r="N460" s="300">
        <v>3.4900000000403191</v>
      </c>
      <c r="O460" s="300">
        <f t="shared" ref="O460:O461" si="1225">SUM(L460:N460)</f>
        <v>24.703000000181412</v>
      </c>
      <c r="P460" s="300"/>
      <c r="Q460" s="300">
        <v>19.171000000119673</v>
      </c>
      <c r="R460" s="300">
        <v>4.3700000000406636</v>
      </c>
      <c r="S460" s="300">
        <v>3.8140000000926406</v>
      </c>
      <c r="T460" s="300">
        <f t="shared" ref="T460:T461" si="1226">SUM(Q460:S460)</f>
        <v>27.355000000252979</v>
      </c>
      <c r="U460" s="300"/>
      <c r="V460" s="300">
        <v>21.009000000170808</v>
      </c>
      <c r="W460" s="300">
        <v>4.7450000000706885</v>
      </c>
      <c r="X460" s="300">
        <v>4.1930000000780971</v>
      </c>
      <c r="Y460" s="300">
        <f t="shared" ref="Y460:Y461" si="1227">SUM(V460:X460)</f>
        <v>29.947000000319594</v>
      </c>
    </row>
    <row r="461" spans="1:25" x14ac:dyDescent="0.2">
      <c r="A461" s="260" t="s">
        <v>354</v>
      </c>
      <c r="B461" s="300">
        <f>SUM(B459:B460)</f>
        <v>28.526999999970876</v>
      </c>
      <c r="C461" s="300">
        <f t="shared" ref="C461" si="1228">SUM(C459:C460)</f>
        <v>10.823000000063686</v>
      </c>
      <c r="D461" s="300">
        <f t="shared" ref="D461" si="1229">SUM(D459:D460)</f>
        <v>7.5830000001066349</v>
      </c>
      <c r="E461" s="300">
        <f t="shared" si="1223"/>
        <v>46.933000000141199</v>
      </c>
      <c r="F461" s="300"/>
      <c r="G461" s="300">
        <f>SUM(G459:G460)</f>
        <v>22.833000000069536</v>
      </c>
      <c r="H461" s="300">
        <f t="shared" ref="H461" si="1230">SUM(H459:H460)</f>
        <v>8.3500000000984542</v>
      </c>
      <c r="I461" s="300">
        <f t="shared" ref="I461" si="1231">SUM(I459:I460)</f>
        <v>8.0540000000796255</v>
      </c>
      <c r="J461" s="300">
        <f t="shared" si="1224"/>
        <v>39.237000000247619</v>
      </c>
      <c r="K461" s="300"/>
      <c r="L461" s="300">
        <f>SUM(L459:L460)</f>
        <v>23.125000000118913</v>
      </c>
      <c r="M461" s="300">
        <f t="shared" ref="M461" si="1232">SUM(M459:M460)</f>
        <v>7.2060000000596744</v>
      </c>
      <c r="N461" s="300">
        <f t="shared" ref="N461" si="1233">SUM(N459:N460)</f>
        <v>8.1799999999691728</v>
      </c>
      <c r="O461" s="300">
        <f t="shared" si="1225"/>
        <v>38.51100000014776</v>
      </c>
      <c r="P461" s="300"/>
      <c r="Q461" s="300">
        <f>SUM(Q459:Q460)</f>
        <v>25.790000000306676</v>
      </c>
      <c r="R461" s="300">
        <f t="shared" ref="R461" si="1234">SUM(R459:R460)</f>
        <v>7.9240000000623798</v>
      </c>
      <c r="S461" s="300">
        <f t="shared" ref="S461" si="1235">SUM(S459:S460)</f>
        <v>8.9340000000750486</v>
      </c>
      <c r="T461" s="300">
        <f t="shared" si="1226"/>
        <v>42.6480000004441</v>
      </c>
      <c r="U461" s="300"/>
      <c r="V461" s="300">
        <f>SUM(V459:V460)</f>
        <v>28.42400000009701</v>
      </c>
      <c r="W461" s="300">
        <f t="shared" ref="W461" si="1236">SUM(W459:W460)</f>
        <v>8.5060000000706921</v>
      </c>
      <c r="X461" s="300">
        <f t="shared" ref="X461" si="1237">SUM(X459:X460)</f>
        <v>9.8540000000823369</v>
      </c>
      <c r="Y461" s="300">
        <f t="shared" si="1227"/>
        <v>46.784000000250039</v>
      </c>
    </row>
    <row r="462" spans="1:25" x14ac:dyDescent="0.2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x14ac:dyDescent="0.2">
      <c r="A463" s="261" t="s">
        <v>360</v>
      </c>
      <c r="C463" s="263"/>
    </row>
    <row r="464" spans="1:25" x14ac:dyDescent="0.2">
      <c r="A464" s="260" t="s">
        <v>356</v>
      </c>
      <c r="B464" s="300">
        <f>SUM(B434,B439,B444,B449,B454,B459)</f>
        <v>35.254999999627223</v>
      </c>
      <c r="C464" s="300">
        <f t="shared" ref="C464:D465" si="1238">SUM(C434,C439,C444,C449,C454,C459)</f>
        <v>36.54099999979978</v>
      </c>
      <c r="D464" s="300">
        <f t="shared" si="1238"/>
        <v>16.664000000272878</v>
      </c>
      <c r="E464" s="300">
        <f>SUM(B464:D464)</f>
        <v>88.459999999699889</v>
      </c>
      <c r="F464" s="300"/>
      <c r="G464" s="300">
        <f>SUM(G434,G439,G444,G449,G454,G459)</f>
        <v>34.351000000091751</v>
      </c>
      <c r="H464" s="300">
        <f t="shared" ref="H464:I464" si="1239">SUM(H434,H439,H444,H449,H454,H459)</f>
        <v>42.780000000354626</v>
      </c>
      <c r="I464" s="300">
        <f t="shared" si="1239"/>
        <v>20.503000000204175</v>
      </c>
      <c r="J464" s="300">
        <f>SUM(G464:I464)</f>
        <v>97.634000000650559</v>
      </c>
      <c r="K464" s="300"/>
      <c r="L464" s="300">
        <f>SUM(L434,L439,L444,L449,L454,L459)</f>
        <v>38.078000000064591</v>
      </c>
      <c r="M464" s="300">
        <f t="shared" ref="M464:N464" si="1240">SUM(M434,M439,M444,M449,M454,M459)</f>
        <v>35.185000000191145</v>
      </c>
      <c r="N464" s="300">
        <f t="shared" si="1240"/>
        <v>20.879999999661297</v>
      </c>
      <c r="O464" s="300">
        <f>SUM(L464:N464)</f>
        <v>94.142999999917038</v>
      </c>
      <c r="P464" s="300"/>
      <c r="Q464" s="300">
        <f>SUM(Q434,Q439,Q444,Q449,Q454,Q459)</f>
        <v>43.034000001146936</v>
      </c>
      <c r="R464" s="300">
        <f t="shared" ref="R464:S464" si="1241">SUM(R434,R439,R444,R449,R454,R459)</f>
        <v>38.327000000265862</v>
      </c>
      <c r="S464" s="300">
        <f t="shared" si="1241"/>
        <v>22.795999999878951</v>
      </c>
      <c r="T464" s="300">
        <f>SUM(Q464:S464)</f>
        <v>104.15700000129175</v>
      </c>
      <c r="U464" s="300"/>
      <c r="V464" s="300">
        <f>SUM(V434,V439,V444,V449,V454,V459)</f>
        <v>48.209999999574173</v>
      </c>
      <c r="W464" s="300">
        <f t="shared" ref="W464:X464" si="1242">SUM(W434,W439,W444,W449,W454,W459)</f>
        <v>40.56600000001594</v>
      </c>
      <c r="X464" s="300">
        <f t="shared" si="1242"/>
        <v>25.205000000038996</v>
      </c>
      <c r="Y464" s="300">
        <f>SUM(V464:X464)</f>
        <v>113.98099999962911</v>
      </c>
    </row>
    <row r="465" spans="1:25" x14ac:dyDescent="0.2">
      <c r="A465" s="260" t="s">
        <v>355</v>
      </c>
      <c r="B465" s="300">
        <f>SUM(B435,B440,B445,B450,B455,B460)</f>
        <v>69.801000000106313</v>
      </c>
      <c r="C465" s="300">
        <f t="shared" si="1238"/>
        <v>27.891000000354893</v>
      </c>
      <c r="D465" s="300">
        <f t="shared" si="1238"/>
        <v>14.418000000168721</v>
      </c>
      <c r="E465" s="300">
        <f t="shared" ref="E465:E466" si="1243">SUM(B465:D465)</f>
        <v>112.11000000062992</v>
      </c>
      <c r="F465" s="300"/>
      <c r="G465" s="300">
        <f>SUM(G435,G440,G445,G450,G455,G460)</f>
        <v>65.774000000141882</v>
      </c>
      <c r="H465" s="300">
        <f t="shared" ref="H465:I465" si="1244">SUM(H435,H440,H445,H450,H455,H460)</f>
        <v>22.556000000289583</v>
      </c>
      <c r="I465" s="300">
        <f t="shared" si="1244"/>
        <v>18.151000000104652</v>
      </c>
      <c r="J465" s="300">
        <f t="shared" ref="J465:J466" si="1245">SUM(G465:I465)</f>
        <v>106.48100000053611</v>
      </c>
      <c r="K465" s="300"/>
      <c r="L465" s="300">
        <f>SUM(L435,L440,L445,L450,L455,L460)</f>
        <v>64.72100000031547</v>
      </c>
      <c r="M465" s="300">
        <f t="shared" ref="M465:N465" si="1246">SUM(M435,M440,M445,M450,M455,M460)</f>
        <v>20.299000000193253</v>
      </c>
      <c r="N465" s="300">
        <f t="shared" si="1246"/>
        <v>18.369000000197339</v>
      </c>
      <c r="O465" s="300">
        <f t="shared" ref="O465:O466" si="1247">SUM(L465:N465)</f>
        <v>103.38900000070606</v>
      </c>
      <c r="P465" s="300"/>
      <c r="Q465" s="300">
        <f>SUM(Q435,Q440,Q445,Q450,Q455,Q460)</f>
        <v>71.851000000396979</v>
      </c>
      <c r="R465" s="300">
        <f t="shared" ref="R465:S465" si="1248">SUM(R435,R440,R445,R450,R455,R460)</f>
        <v>22.491000000195598</v>
      </c>
      <c r="S465" s="300">
        <f t="shared" si="1248"/>
        <v>20.073000000484086</v>
      </c>
      <c r="T465" s="300">
        <f t="shared" ref="T465:T466" si="1249">SUM(Q465:S465)</f>
        <v>114.41500000107666</v>
      </c>
      <c r="U465" s="300"/>
      <c r="V465" s="300">
        <f>SUM(V435,V440,V445,V450,V455,V460)</f>
        <v>78.738000000548126</v>
      </c>
      <c r="W465" s="300">
        <f t="shared" ref="W465:X465" si="1250">SUM(W435,W440,W445,W450,W455,W460)</f>
        <v>24.420000000332934</v>
      </c>
      <c r="X465" s="300">
        <f t="shared" si="1250"/>
        <v>22.068000000391979</v>
      </c>
      <c r="Y465" s="300">
        <f t="shared" ref="Y465:Y466" si="1251">SUM(V465:X465)</f>
        <v>125.22600000127304</v>
      </c>
    </row>
    <row r="466" spans="1:25" x14ac:dyDescent="0.2">
      <c r="A466" s="264" t="s">
        <v>354</v>
      </c>
      <c r="B466" s="301">
        <f>SUM(B464:B465)</f>
        <v>105.05599999973353</v>
      </c>
      <c r="C466" s="301">
        <f t="shared" ref="C466" si="1252">SUM(C464:C465)</f>
        <v>64.432000000154673</v>
      </c>
      <c r="D466" s="301">
        <f t="shared" ref="D466" si="1253">SUM(D464:D465)</f>
        <v>31.082000000441599</v>
      </c>
      <c r="E466" s="301">
        <f t="shared" si="1243"/>
        <v>200.5700000003298</v>
      </c>
      <c r="F466" s="301"/>
      <c r="G466" s="301">
        <f>SUM(G464:G465)</f>
        <v>100.12500000023363</v>
      </c>
      <c r="H466" s="301">
        <f t="shared" ref="H466" si="1254">SUM(H464:H465)</f>
        <v>65.336000000644205</v>
      </c>
      <c r="I466" s="301">
        <f t="shared" ref="I466" si="1255">SUM(I464:I465)</f>
        <v>38.654000000308827</v>
      </c>
      <c r="J466" s="301">
        <f t="shared" si="1245"/>
        <v>204.11500000118667</v>
      </c>
      <c r="K466" s="301"/>
      <c r="L466" s="301">
        <f>SUM(L464:L465)</f>
        <v>102.79900000038006</v>
      </c>
      <c r="M466" s="301">
        <f t="shared" ref="M466" si="1256">SUM(M464:M465)</f>
        <v>55.484000000384398</v>
      </c>
      <c r="N466" s="301">
        <f t="shared" ref="N466" si="1257">SUM(N464:N465)</f>
        <v>39.24899999985864</v>
      </c>
      <c r="O466" s="301">
        <f t="shared" si="1247"/>
        <v>197.5320000006231</v>
      </c>
      <c r="P466" s="301"/>
      <c r="Q466" s="301">
        <f>SUM(Q464:Q465)</f>
        <v>114.88500000154392</v>
      </c>
      <c r="R466" s="301">
        <f t="shared" ref="R466" si="1258">SUM(R464:R465)</f>
        <v>60.81800000046146</v>
      </c>
      <c r="S466" s="301">
        <f t="shared" ref="S466" si="1259">SUM(S464:S465)</f>
        <v>42.869000000363037</v>
      </c>
      <c r="T466" s="301">
        <f t="shared" si="1249"/>
        <v>218.57200000236841</v>
      </c>
      <c r="U466" s="301"/>
      <c r="V466" s="301">
        <f>SUM(V464:V465)</f>
        <v>126.94800000012231</v>
      </c>
      <c r="W466" s="301">
        <f t="shared" ref="W466" si="1260">SUM(W464:W465)</f>
        <v>64.986000000348866</v>
      </c>
      <c r="X466" s="301">
        <f t="shared" ref="X466" si="1261">SUM(X464:X465)</f>
        <v>47.273000000430976</v>
      </c>
      <c r="Y466" s="301">
        <f t="shared" si="1251"/>
        <v>239.20700000090216</v>
      </c>
    </row>
    <row r="467" spans="1:25" x14ac:dyDescent="0.2">
      <c r="C467" s="263"/>
    </row>
    <row r="468" spans="1:25" x14ac:dyDescent="0.2">
      <c r="A468" s="261"/>
    </row>
    <row r="469" spans="1:25" x14ac:dyDescent="0.2">
      <c r="C469" s="263"/>
    </row>
    <row r="470" spans="1:25" ht="15" x14ac:dyDescent="0.25">
      <c r="A470" s="265" t="str">
        <f>"Industry 18 : "&amp; name!B21</f>
        <v>Industry 18 : Public admin. and defence</v>
      </c>
      <c r="B470" s="371">
        <f>$B$5</f>
        <v>2015</v>
      </c>
      <c r="C470" s="371"/>
      <c r="D470" s="371"/>
      <c r="E470" s="371"/>
      <c r="F470" s="320"/>
      <c r="G470" s="371">
        <f>$G$5</f>
        <v>2019</v>
      </c>
      <c r="H470" s="371"/>
      <c r="I470" s="371"/>
      <c r="J470" s="371"/>
      <c r="K470" s="320"/>
      <c r="L470" s="371">
        <f>$L$5</f>
        <v>2020</v>
      </c>
      <c r="M470" s="371"/>
      <c r="N470" s="371"/>
      <c r="O470" s="371"/>
      <c r="P470" s="318"/>
      <c r="Q470" s="371">
        <f>$Q$5</f>
        <v>2025</v>
      </c>
      <c r="R470" s="371"/>
      <c r="S470" s="371"/>
      <c r="T470" s="371"/>
      <c r="U470" s="320"/>
      <c r="V470" s="371">
        <f>$V$5</f>
        <v>2035</v>
      </c>
      <c r="W470" s="371"/>
      <c r="X470" s="371"/>
      <c r="Y470" s="371"/>
    </row>
    <row r="471" spans="1:25" x14ac:dyDescent="0.2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2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x14ac:dyDescent="0.2">
      <c r="A473" s="261" t="str">
        <f>name!A67</f>
        <v>Public administration and defence</v>
      </c>
      <c r="C473" s="263"/>
    </row>
    <row r="474" spans="1:25" x14ac:dyDescent="0.2">
      <c r="A474" s="260" t="s">
        <v>356</v>
      </c>
      <c r="B474" s="300">
        <v>26.211000000221869</v>
      </c>
      <c r="C474" s="300">
        <v>26.263999999870396</v>
      </c>
      <c r="D474" s="300">
        <v>2.6590000000419929</v>
      </c>
      <c r="E474" s="300">
        <f>SUM(B474:D474)</f>
        <v>55.134000000134257</v>
      </c>
      <c r="F474" s="300"/>
      <c r="G474" s="300">
        <v>29.523999999759933</v>
      </c>
      <c r="H474" s="300">
        <v>26.136999999740571</v>
      </c>
      <c r="I474" s="300">
        <v>1.136999999962093</v>
      </c>
      <c r="J474" s="300">
        <f>SUM(G474:I474)</f>
        <v>56.797999999462597</v>
      </c>
      <c r="K474" s="300"/>
      <c r="L474" s="300">
        <v>30.028999999856925</v>
      </c>
      <c r="M474" s="300">
        <v>26.639999999728534</v>
      </c>
      <c r="N474" s="300">
        <v>2.8979999999639587</v>
      </c>
      <c r="O474" s="300">
        <f>SUM(L474:N474)</f>
        <v>59.566999999549417</v>
      </c>
      <c r="P474" s="300"/>
      <c r="Q474" s="300">
        <v>31.754999999362333</v>
      </c>
      <c r="R474" s="300">
        <v>28.229999999496087</v>
      </c>
      <c r="S474" s="300">
        <v>3.0689999999165196</v>
      </c>
      <c r="T474" s="300">
        <f>SUM(Q474:S474)</f>
        <v>63.053999998774941</v>
      </c>
      <c r="U474" s="300"/>
      <c r="V474" s="300">
        <v>32.642000000336672</v>
      </c>
      <c r="W474" s="300">
        <v>29.031000000148214</v>
      </c>
      <c r="X474" s="300">
        <v>3.1800000000228974</v>
      </c>
      <c r="Y474" s="300">
        <f>SUM(V474:X474)</f>
        <v>64.853000000507791</v>
      </c>
    </row>
    <row r="475" spans="1:25" x14ac:dyDescent="0.2">
      <c r="A475" s="260" t="s">
        <v>355</v>
      </c>
      <c r="B475" s="300">
        <v>36.130999999747722</v>
      </c>
      <c r="C475" s="300">
        <v>6.1039999999462342</v>
      </c>
      <c r="D475" s="300">
        <v>2.7420000000151536</v>
      </c>
      <c r="E475" s="300">
        <f t="shared" ref="E475:E476" si="1262">SUM(B475:D475)</f>
        <v>44.976999999709108</v>
      </c>
      <c r="F475" s="300"/>
      <c r="G475" s="300">
        <v>39.20099999973624</v>
      </c>
      <c r="H475" s="300">
        <v>6.1319999999510824</v>
      </c>
      <c r="I475" s="300">
        <v>0.5919999999976211</v>
      </c>
      <c r="J475" s="300">
        <f t="shared" ref="J475:J476" si="1263">SUM(G475:I475)</f>
        <v>45.924999999684943</v>
      </c>
      <c r="K475" s="300"/>
      <c r="L475" s="300">
        <v>39.341999999434591</v>
      </c>
      <c r="M475" s="300">
        <v>6.3789999999585687</v>
      </c>
      <c r="N475" s="300">
        <v>3.6079999999980714</v>
      </c>
      <c r="O475" s="300">
        <f t="shared" ref="O475:O476" si="1264">SUM(L475:N475)</f>
        <v>49.328999999391229</v>
      </c>
      <c r="P475" s="300"/>
      <c r="Q475" s="300">
        <v>40.764999999577874</v>
      </c>
      <c r="R475" s="300">
        <v>7.1089999999562439</v>
      </c>
      <c r="S475" s="300">
        <v>3.8190000001025726</v>
      </c>
      <c r="T475" s="300">
        <f t="shared" ref="T475:T476" si="1265">SUM(Q475:S475)</f>
        <v>51.69299999963669</v>
      </c>
      <c r="U475" s="300"/>
      <c r="V475" s="300">
        <v>40.19599999929688</v>
      </c>
      <c r="W475" s="300">
        <v>8.0619999999293146</v>
      </c>
      <c r="X475" s="300">
        <v>3.9680000000512035</v>
      </c>
      <c r="Y475" s="300">
        <f t="shared" ref="Y475:Y476" si="1266">SUM(V475:X475)</f>
        <v>52.225999999277398</v>
      </c>
    </row>
    <row r="476" spans="1:25" x14ac:dyDescent="0.2">
      <c r="A476" s="264" t="s">
        <v>354</v>
      </c>
      <c r="B476" s="301">
        <f>SUM(B474:B475)</f>
        <v>62.341999999969588</v>
      </c>
      <c r="C476" s="301">
        <f t="shared" ref="C476" si="1267">SUM(C474:C475)</f>
        <v>32.367999999816632</v>
      </c>
      <c r="D476" s="301">
        <f t="shared" ref="D476" si="1268">SUM(D474:D475)</f>
        <v>5.401000000057147</v>
      </c>
      <c r="E476" s="301">
        <f t="shared" si="1262"/>
        <v>100.11099999984337</v>
      </c>
      <c r="F476" s="301"/>
      <c r="G476" s="301">
        <f>SUM(G474:G475)</f>
        <v>68.724999999496177</v>
      </c>
      <c r="H476" s="301">
        <f t="shared" ref="H476" si="1269">SUM(H474:H475)</f>
        <v>32.268999999691651</v>
      </c>
      <c r="I476" s="301">
        <f t="shared" ref="I476" si="1270">SUM(I474:I475)</f>
        <v>1.7289999999597141</v>
      </c>
      <c r="J476" s="301">
        <f t="shared" si="1263"/>
        <v>102.72299999914753</v>
      </c>
      <c r="K476" s="301"/>
      <c r="L476" s="301">
        <f>SUM(L474:L475)</f>
        <v>69.370999999291513</v>
      </c>
      <c r="M476" s="301">
        <f t="shared" ref="M476" si="1271">SUM(M474:M475)</f>
        <v>33.018999999687104</v>
      </c>
      <c r="N476" s="301">
        <f t="shared" ref="N476" si="1272">SUM(N474:N475)</f>
        <v>6.5059999999620306</v>
      </c>
      <c r="O476" s="301">
        <f t="shared" si="1264"/>
        <v>108.89599999894065</v>
      </c>
      <c r="P476" s="301"/>
      <c r="Q476" s="301">
        <f>SUM(Q474:Q475)</f>
        <v>72.519999998940207</v>
      </c>
      <c r="R476" s="301">
        <f t="shared" ref="R476" si="1273">SUM(R474:R475)</f>
        <v>35.338999999452334</v>
      </c>
      <c r="S476" s="301">
        <f t="shared" ref="S476" si="1274">SUM(S474:S475)</f>
        <v>6.8880000000190922</v>
      </c>
      <c r="T476" s="301">
        <f t="shared" si="1265"/>
        <v>114.74699999841162</v>
      </c>
      <c r="U476" s="301"/>
      <c r="V476" s="301">
        <f>SUM(V474:V475)</f>
        <v>72.837999999633553</v>
      </c>
      <c r="W476" s="301">
        <f t="shared" ref="W476" si="1275">SUM(W474:W475)</f>
        <v>37.093000000077531</v>
      </c>
      <c r="X476" s="301">
        <f t="shared" ref="X476" si="1276">SUM(X474:X475)</f>
        <v>7.1480000000741004</v>
      </c>
      <c r="Y476" s="301">
        <f t="shared" si="1266"/>
        <v>117.07899999978518</v>
      </c>
    </row>
    <row r="480" spans="1:25" ht="15" x14ac:dyDescent="0.25">
      <c r="A480" s="265" t="str">
        <f>"Industry 19 : "&amp; name!B22</f>
        <v>Industry 19 : Education</v>
      </c>
      <c r="B480" s="371">
        <f>$B$5</f>
        <v>2015</v>
      </c>
      <c r="C480" s="371"/>
      <c r="D480" s="371"/>
      <c r="E480" s="371"/>
      <c r="F480" s="320"/>
      <c r="G480" s="371">
        <f>$G$5</f>
        <v>2019</v>
      </c>
      <c r="H480" s="371"/>
      <c r="I480" s="371"/>
      <c r="J480" s="371"/>
      <c r="K480" s="320"/>
      <c r="L480" s="371">
        <f>$L$5</f>
        <v>2020</v>
      </c>
      <c r="M480" s="371"/>
      <c r="N480" s="371"/>
      <c r="O480" s="371"/>
      <c r="P480" s="318"/>
      <c r="Q480" s="371">
        <f>$Q$5</f>
        <v>2025</v>
      </c>
      <c r="R480" s="371"/>
      <c r="S480" s="371"/>
      <c r="T480" s="371"/>
      <c r="U480" s="320"/>
      <c r="V480" s="371">
        <f>$V$5</f>
        <v>2035</v>
      </c>
      <c r="W480" s="371"/>
      <c r="X480" s="371"/>
      <c r="Y480" s="371"/>
    </row>
    <row r="481" spans="1:25" x14ac:dyDescent="0.2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x14ac:dyDescent="0.2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x14ac:dyDescent="0.2">
      <c r="A483" s="261" t="str">
        <f>name!A68</f>
        <v xml:space="preserve">Education </v>
      </c>
      <c r="C483" s="263"/>
    </row>
    <row r="484" spans="1:25" x14ac:dyDescent="0.2">
      <c r="A484" s="260" t="s">
        <v>356</v>
      </c>
      <c r="B484" s="300">
        <v>58.440000003000968</v>
      </c>
      <c r="C484" s="300">
        <v>95.182999997409908</v>
      </c>
      <c r="D484" s="300">
        <v>13.613000000316632</v>
      </c>
      <c r="E484" s="300">
        <f>SUM(B484:D484)</f>
        <v>167.23600000072753</v>
      </c>
      <c r="F484" s="300"/>
      <c r="G484" s="300">
        <v>56.437000001474964</v>
      </c>
      <c r="H484" s="300">
        <v>98.031999994804252</v>
      </c>
      <c r="I484" s="300">
        <v>18.828999999452815</v>
      </c>
      <c r="J484" s="300">
        <f>SUM(G484:I484)</f>
        <v>173.29799999573203</v>
      </c>
      <c r="K484" s="300"/>
      <c r="L484" s="300">
        <v>62.22500000141428</v>
      </c>
      <c r="M484" s="300">
        <v>97.73899999439594</v>
      </c>
      <c r="N484" s="300">
        <v>17.006999999667702</v>
      </c>
      <c r="O484" s="300">
        <f>SUM(L484:N484)</f>
        <v>176.97099999547791</v>
      </c>
      <c r="P484" s="300"/>
      <c r="Q484" s="300">
        <v>65.152999991171768</v>
      </c>
      <c r="R484" s="300">
        <v>97.957999988923532</v>
      </c>
      <c r="S484" s="300">
        <v>17.613999999395539</v>
      </c>
      <c r="T484" s="300">
        <f>SUM(Q484:S484)</f>
        <v>180.72499997949083</v>
      </c>
      <c r="U484" s="300"/>
      <c r="V484" s="300">
        <v>72.595000001899223</v>
      </c>
      <c r="W484" s="300">
        <v>99.775000001370501</v>
      </c>
      <c r="X484" s="300">
        <v>18.782000000275662</v>
      </c>
      <c r="Y484" s="300">
        <f>SUM(V484:X484)</f>
        <v>191.1520000035454</v>
      </c>
    </row>
    <row r="485" spans="1:25" x14ac:dyDescent="0.2">
      <c r="A485" s="260" t="s">
        <v>355</v>
      </c>
      <c r="B485" s="300">
        <v>45.251000001708533</v>
      </c>
      <c r="C485" s="300">
        <v>18.508999998830745</v>
      </c>
      <c r="D485" s="300">
        <v>9.688000000197956</v>
      </c>
      <c r="E485" s="300">
        <f t="shared" ref="E485" si="1277">SUM(B485:D485)</f>
        <v>73.448000000737238</v>
      </c>
      <c r="F485" s="300"/>
      <c r="G485" s="300">
        <v>44.511000000986449</v>
      </c>
      <c r="H485" s="300">
        <v>21.084999998501743</v>
      </c>
      <c r="I485" s="300">
        <v>12.949999999531023</v>
      </c>
      <c r="J485" s="300">
        <f t="shared" ref="J485:J486" si="1278">SUM(G485:I485)</f>
        <v>78.545999999019216</v>
      </c>
      <c r="K485" s="300"/>
      <c r="L485" s="300">
        <v>43.167000000170802</v>
      </c>
      <c r="M485" s="300">
        <v>17.22400000010062</v>
      </c>
      <c r="N485" s="300">
        <v>4.5240000001118466</v>
      </c>
      <c r="O485" s="300">
        <f t="shared" ref="O485:O486" si="1279">SUM(L485:N485)</f>
        <v>64.915000000383259</v>
      </c>
      <c r="P485" s="300"/>
      <c r="Q485" s="300">
        <v>43.63799999775253</v>
      </c>
      <c r="R485" s="300">
        <v>17.878999999547844</v>
      </c>
      <c r="S485" s="300">
        <v>4.7240000004178615</v>
      </c>
      <c r="T485" s="300">
        <f t="shared" ref="T485:T486" si="1280">SUM(Q485:S485)</f>
        <v>66.240999997718234</v>
      </c>
      <c r="U485" s="300"/>
      <c r="V485" s="300">
        <v>45.293999998263693</v>
      </c>
      <c r="W485" s="300">
        <v>19.449999999275274</v>
      </c>
      <c r="X485" s="300">
        <v>5.1850000003582899</v>
      </c>
      <c r="Y485" s="300">
        <f t="shared" ref="Y485:Y486" si="1281">SUM(V485:X485)</f>
        <v>69.92899999789725</v>
      </c>
    </row>
    <row r="486" spans="1:25" x14ac:dyDescent="0.2">
      <c r="A486" s="264" t="s">
        <v>354</v>
      </c>
      <c r="B486" s="301">
        <f>SUM(B484:B485)</f>
        <v>103.69100000470951</v>
      </c>
      <c r="C486" s="301">
        <f t="shared" ref="C486" si="1282">SUM(C484:C485)</f>
        <v>113.69199999624065</v>
      </c>
      <c r="D486" s="301">
        <f t="shared" ref="D486" si="1283">SUM(D484:D485)</f>
        <v>23.301000000514588</v>
      </c>
      <c r="E486" s="301">
        <f>SUM(B486:D486)</f>
        <v>240.68400000146477</v>
      </c>
      <c r="F486" s="301"/>
      <c r="G486" s="301">
        <f>SUM(G484:G485)</f>
        <v>100.94800000246141</v>
      </c>
      <c r="H486" s="301">
        <f t="shared" ref="H486" si="1284">SUM(H484:H485)</f>
        <v>119.116999993306</v>
      </c>
      <c r="I486" s="301">
        <f t="shared" ref="I486" si="1285">SUM(I484:I485)</f>
        <v>31.778999998983839</v>
      </c>
      <c r="J486" s="301">
        <f t="shared" si="1278"/>
        <v>251.84399999475124</v>
      </c>
      <c r="K486" s="301"/>
      <c r="L486" s="301">
        <f>SUM(L484:L485)</f>
        <v>105.39200000158507</v>
      </c>
      <c r="M486" s="301">
        <f t="shared" ref="M486" si="1286">SUM(M484:M485)</f>
        <v>114.96299999449656</v>
      </c>
      <c r="N486" s="301">
        <f t="shared" ref="N486" si="1287">SUM(N484:N485)</f>
        <v>21.530999999779549</v>
      </c>
      <c r="O486" s="301">
        <f t="shared" si="1279"/>
        <v>241.88599999586117</v>
      </c>
      <c r="P486" s="301"/>
      <c r="Q486" s="301">
        <f>SUM(Q484:Q485)</f>
        <v>108.7909999889243</v>
      </c>
      <c r="R486" s="301">
        <f t="shared" ref="R486" si="1288">SUM(R484:R485)</f>
        <v>115.83699998847138</v>
      </c>
      <c r="S486" s="301">
        <f t="shared" ref="S486" si="1289">SUM(S484:S485)</f>
        <v>22.337999999813398</v>
      </c>
      <c r="T486" s="301">
        <f t="shared" si="1280"/>
        <v>246.96599997720909</v>
      </c>
      <c r="U486" s="301"/>
      <c r="V486" s="301">
        <f>SUM(V484:V485)</f>
        <v>117.88900000016292</v>
      </c>
      <c r="W486" s="301">
        <f t="shared" ref="W486" si="1290">SUM(W484:W485)</f>
        <v>119.22500000064578</v>
      </c>
      <c r="X486" s="301">
        <f t="shared" ref="X486" si="1291">SUM(X484:X485)</f>
        <v>23.967000000633952</v>
      </c>
      <c r="Y486" s="301">
        <f t="shared" si="1281"/>
        <v>261.08100000144265</v>
      </c>
    </row>
    <row r="490" spans="1:25" ht="15" x14ac:dyDescent="0.25">
      <c r="A490" s="265" t="str">
        <f>"Industry 20 : "&amp; name!B23</f>
        <v>Industry 20 : Health and social work</v>
      </c>
      <c r="B490" s="371">
        <f>$B$5</f>
        <v>2015</v>
      </c>
      <c r="C490" s="371"/>
      <c r="D490" s="371"/>
      <c r="E490" s="371"/>
      <c r="F490" s="320"/>
      <c r="G490" s="371">
        <f>$G$5</f>
        <v>2019</v>
      </c>
      <c r="H490" s="371"/>
      <c r="I490" s="371"/>
      <c r="J490" s="371"/>
      <c r="K490" s="320"/>
      <c r="L490" s="371">
        <f>$L$5</f>
        <v>2020</v>
      </c>
      <c r="M490" s="371"/>
      <c r="N490" s="371"/>
      <c r="O490" s="371"/>
      <c r="P490" s="318"/>
      <c r="Q490" s="371">
        <f>$Q$5</f>
        <v>2025</v>
      </c>
      <c r="R490" s="371"/>
      <c r="S490" s="371"/>
      <c r="T490" s="371"/>
      <c r="U490" s="320"/>
      <c r="V490" s="371">
        <f>$V$5</f>
        <v>2035</v>
      </c>
      <c r="W490" s="371"/>
      <c r="X490" s="371"/>
      <c r="Y490" s="371"/>
    </row>
    <row r="491" spans="1:25" x14ac:dyDescent="0.2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x14ac:dyDescent="0.2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x14ac:dyDescent="0.2">
      <c r="A493" s="261" t="str">
        <f>name!A69</f>
        <v>Health</v>
      </c>
      <c r="C493" s="263"/>
    </row>
    <row r="494" spans="1:25" x14ac:dyDescent="0.2">
      <c r="A494" s="260" t="s">
        <v>356</v>
      </c>
      <c r="B494" s="300">
        <v>71.14700000035495</v>
      </c>
      <c r="C494" s="300">
        <v>80.758999998363336</v>
      </c>
      <c r="D494" s="300">
        <v>14.809999999046573</v>
      </c>
      <c r="E494" s="300">
        <f>SUM(B494:D494)</f>
        <v>166.71599999776487</v>
      </c>
      <c r="F494" s="300"/>
      <c r="G494" s="300">
        <v>80.687999999641647</v>
      </c>
      <c r="H494" s="300">
        <v>86.630999998897693</v>
      </c>
      <c r="I494" s="300">
        <v>15.541999998775813</v>
      </c>
      <c r="J494" s="300">
        <f>SUM(G494:I494)</f>
        <v>182.86099999731516</v>
      </c>
      <c r="K494" s="300"/>
      <c r="L494" s="300">
        <v>76.869999999743143</v>
      </c>
      <c r="M494" s="300">
        <v>85.000999998511105</v>
      </c>
      <c r="N494" s="300">
        <v>12.542000000868068</v>
      </c>
      <c r="O494" s="300">
        <f>SUM(L494:N494)</f>
        <v>174.41299999912232</v>
      </c>
      <c r="P494" s="300"/>
      <c r="Q494" s="300">
        <v>86.857999999199436</v>
      </c>
      <c r="R494" s="300">
        <v>93.506999997328194</v>
      </c>
      <c r="S494" s="300">
        <v>15.032999999889292</v>
      </c>
      <c r="T494" s="300">
        <f>SUM(Q494:S494)</f>
        <v>195.3979999964169</v>
      </c>
      <c r="U494" s="300"/>
      <c r="V494" s="300">
        <v>104.17899999994432</v>
      </c>
      <c r="W494" s="300">
        <v>105.94599999950701</v>
      </c>
      <c r="X494" s="300">
        <v>20.04100000000922</v>
      </c>
      <c r="Y494" s="300">
        <f>SUM(V494:X494)</f>
        <v>230.16599999946055</v>
      </c>
    </row>
    <row r="495" spans="1:25" x14ac:dyDescent="0.2">
      <c r="A495" s="260" t="s">
        <v>355</v>
      </c>
      <c r="B495" s="300">
        <v>29.579999999665706</v>
      </c>
      <c r="C495" s="300">
        <v>10.658999999959262</v>
      </c>
      <c r="D495" s="300">
        <v>8.5850000003259943</v>
      </c>
      <c r="E495" s="300">
        <f t="shared" ref="E495:E496" si="1292">SUM(B495:D495)</f>
        <v>48.823999999950956</v>
      </c>
      <c r="F495" s="300"/>
      <c r="G495" s="300">
        <v>31.274999999645118</v>
      </c>
      <c r="H495" s="300">
        <v>8.5479999999687664</v>
      </c>
      <c r="I495" s="300">
        <v>6.6029999999576541</v>
      </c>
      <c r="J495" s="300">
        <f t="shared" ref="J495:J496" si="1293">SUM(G495:I495)</f>
        <v>46.425999999571538</v>
      </c>
      <c r="K495" s="300"/>
      <c r="L495" s="300">
        <v>30.474999999207107</v>
      </c>
      <c r="M495" s="300">
        <v>11.139000000021111</v>
      </c>
      <c r="N495" s="300">
        <v>10.207000000068387</v>
      </c>
      <c r="O495" s="300">
        <f t="shared" ref="O495:O496" si="1294">SUM(L495:N495)</f>
        <v>51.820999999296603</v>
      </c>
      <c r="P495" s="300"/>
      <c r="Q495" s="300">
        <v>34.182999999286103</v>
      </c>
      <c r="R495" s="300">
        <v>12.894000000005994</v>
      </c>
      <c r="S495" s="300">
        <v>10.841000000783909</v>
      </c>
      <c r="T495" s="300">
        <f t="shared" ref="T495:T496" si="1295">SUM(Q495:S495)</f>
        <v>57.918000000076006</v>
      </c>
      <c r="U495" s="300"/>
      <c r="V495" s="300">
        <v>40.41299999893721</v>
      </c>
      <c r="W495" s="300">
        <v>16.173000000027393</v>
      </c>
      <c r="X495" s="300">
        <v>11.408000000485647</v>
      </c>
      <c r="Y495" s="300">
        <f t="shared" ref="Y495:Y496" si="1296">SUM(V495:X495)</f>
        <v>67.993999999450253</v>
      </c>
    </row>
    <row r="496" spans="1:25" x14ac:dyDescent="0.2">
      <c r="A496" s="260" t="s">
        <v>354</v>
      </c>
      <c r="B496" s="300">
        <f>SUM(B494:B495)</f>
        <v>100.72700000002065</v>
      </c>
      <c r="C496" s="300">
        <f t="shared" ref="C496" si="1297">SUM(C494:C495)</f>
        <v>91.4179999983226</v>
      </c>
      <c r="D496" s="300">
        <f t="shared" ref="D496" si="1298">SUM(D494:D495)</f>
        <v>23.394999999372565</v>
      </c>
      <c r="E496" s="300">
        <f t="shared" si="1292"/>
        <v>215.53999999771582</v>
      </c>
      <c r="F496" s="300"/>
      <c r="G496" s="300">
        <f>SUM(G494:G495)</f>
        <v>111.96299999928677</v>
      </c>
      <c r="H496" s="300">
        <f t="shared" ref="H496" si="1299">SUM(H494:H495)</f>
        <v>95.178999998866459</v>
      </c>
      <c r="I496" s="300">
        <f t="shared" ref="I496" si="1300">SUM(I494:I495)</f>
        <v>22.144999998733468</v>
      </c>
      <c r="J496" s="300">
        <f t="shared" si="1293"/>
        <v>229.28699999688666</v>
      </c>
      <c r="K496" s="300"/>
      <c r="L496" s="300">
        <f>SUM(L494:L495)</f>
        <v>107.34499999895024</v>
      </c>
      <c r="M496" s="300">
        <f t="shared" ref="M496" si="1301">SUM(M494:M495)</f>
        <v>96.139999998532218</v>
      </c>
      <c r="N496" s="300">
        <f t="shared" ref="N496" si="1302">SUM(N494:N495)</f>
        <v>22.749000000936455</v>
      </c>
      <c r="O496" s="300">
        <f t="shared" si="1294"/>
        <v>226.23399999841894</v>
      </c>
      <c r="P496" s="300"/>
      <c r="Q496" s="300">
        <f>SUM(Q494:Q495)</f>
        <v>121.04099999848555</v>
      </c>
      <c r="R496" s="300">
        <f t="shared" ref="R496" si="1303">SUM(R494:R495)</f>
        <v>106.40099999733418</v>
      </c>
      <c r="S496" s="300">
        <f t="shared" ref="S496" si="1304">SUM(S494:S495)</f>
        <v>25.874000000673199</v>
      </c>
      <c r="T496" s="300">
        <f t="shared" si="1295"/>
        <v>253.31599999649293</v>
      </c>
      <c r="U496" s="300"/>
      <c r="V496" s="300">
        <f>SUM(V494:V495)</f>
        <v>144.59199999888153</v>
      </c>
      <c r="W496" s="300">
        <f t="shared" ref="W496" si="1305">SUM(W494:W495)</f>
        <v>122.1189999995344</v>
      </c>
      <c r="X496" s="300">
        <f t="shared" ref="X496" si="1306">SUM(X494:X495)</f>
        <v>31.449000000494866</v>
      </c>
      <c r="Y496" s="300">
        <f t="shared" si="1296"/>
        <v>298.15999999891079</v>
      </c>
    </row>
    <row r="497" spans="1:25" x14ac:dyDescent="0.2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x14ac:dyDescent="0.2">
      <c r="A498" s="261" t="str">
        <f>name!A70</f>
        <v>Residential care</v>
      </c>
      <c r="C498" s="263"/>
    </row>
    <row r="499" spans="1:25" x14ac:dyDescent="0.2">
      <c r="A499" s="260" t="s">
        <v>356</v>
      </c>
      <c r="B499" s="300">
        <v>25.433000000126874</v>
      </c>
      <c r="C499" s="300">
        <v>33.017999999330897</v>
      </c>
      <c r="D499" s="300">
        <v>7.3169999995289556</v>
      </c>
      <c r="E499" s="300">
        <f>SUM(B499:D499)</f>
        <v>65.767999998986724</v>
      </c>
      <c r="F499" s="300"/>
      <c r="G499" s="300">
        <v>29.26899999986999</v>
      </c>
      <c r="H499" s="300">
        <v>27.128999999654788</v>
      </c>
      <c r="I499" s="300">
        <v>7.2989999994250869</v>
      </c>
      <c r="J499" s="300">
        <f>SUM(G499:I499)</f>
        <v>63.696999998949863</v>
      </c>
      <c r="K499" s="300"/>
      <c r="L499" s="300">
        <v>26.372999999911883</v>
      </c>
      <c r="M499" s="300">
        <v>24.829999999565082</v>
      </c>
      <c r="N499" s="300">
        <v>5.2440000003629503</v>
      </c>
      <c r="O499" s="300">
        <f>SUM(L499:N499)</f>
        <v>56.446999999839917</v>
      </c>
      <c r="P499" s="300"/>
      <c r="Q499" s="300">
        <v>29.317999999729778</v>
      </c>
      <c r="R499" s="300">
        <v>24.858999999289669</v>
      </c>
      <c r="S499" s="300">
        <v>5.7419999999577147</v>
      </c>
      <c r="T499" s="300">
        <f>SUM(Q499:S499)</f>
        <v>59.918999998977156</v>
      </c>
      <c r="U499" s="300"/>
      <c r="V499" s="300">
        <v>34.111999999981762</v>
      </c>
      <c r="W499" s="300">
        <v>23.282999999891665</v>
      </c>
      <c r="X499" s="300">
        <v>6.2230000000028696</v>
      </c>
      <c r="Y499" s="300">
        <f>SUM(V499:X499)</f>
        <v>63.617999999876297</v>
      </c>
    </row>
    <row r="500" spans="1:25" x14ac:dyDescent="0.2">
      <c r="A500" s="260" t="s">
        <v>355</v>
      </c>
      <c r="B500" s="300">
        <v>11.39599999987122</v>
      </c>
      <c r="C500" s="300">
        <v>5.9769999999771555</v>
      </c>
      <c r="D500" s="300">
        <v>2.051000000077881</v>
      </c>
      <c r="E500" s="300">
        <f t="shared" ref="E500:E501" si="1307">SUM(B500:D500)</f>
        <v>19.423999999926256</v>
      </c>
      <c r="F500" s="300"/>
      <c r="G500" s="300">
        <v>10.315999999882951</v>
      </c>
      <c r="H500" s="300">
        <v>3.2369999999881718</v>
      </c>
      <c r="I500" s="300">
        <v>1.4299999999908302</v>
      </c>
      <c r="J500" s="300">
        <f t="shared" ref="J500:J501" si="1308">SUM(G500:I500)</f>
        <v>14.982999999861953</v>
      </c>
      <c r="K500" s="300"/>
      <c r="L500" s="300">
        <v>10.245999999733403</v>
      </c>
      <c r="M500" s="300">
        <v>4.3650000000082727</v>
      </c>
      <c r="N500" s="300">
        <v>1.6820000000112671</v>
      </c>
      <c r="O500" s="300">
        <f t="shared" ref="O500:O501" si="1309">SUM(L500:N500)</f>
        <v>16.292999999752944</v>
      </c>
      <c r="P500" s="300"/>
      <c r="Q500" s="300">
        <v>10.878999999772805</v>
      </c>
      <c r="R500" s="300">
        <v>4.6340000000021533</v>
      </c>
      <c r="S500" s="300">
        <v>1.7890000001293607</v>
      </c>
      <c r="T500" s="300">
        <f t="shared" ref="T500:T501" si="1310">SUM(Q500:S500)</f>
        <v>17.301999999904318</v>
      </c>
      <c r="U500" s="300"/>
      <c r="V500" s="300">
        <v>11.670999999693073</v>
      </c>
      <c r="W500" s="300">
        <v>4.9160000000083226</v>
      </c>
      <c r="X500" s="300">
        <v>1.8860000000802872</v>
      </c>
      <c r="Y500" s="300">
        <f t="shared" ref="Y500:Y501" si="1311">SUM(V500:X500)</f>
        <v>18.472999999781685</v>
      </c>
    </row>
    <row r="501" spans="1:25" x14ac:dyDescent="0.2">
      <c r="A501" s="260" t="s">
        <v>354</v>
      </c>
      <c r="B501" s="300">
        <f>SUM(B499:B500)</f>
        <v>36.828999999998096</v>
      </c>
      <c r="C501" s="300">
        <f t="shared" ref="C501" si="1312">SUM(C499:C500)</f>
        <v>38.99499999930805</v>
      </c>
      <c r="D501" s="300">
        <f t="shared" ref="D501" si="1313">SUM(D499:D500)</f>
        <v>9.3679999996068375</v>
      </c>
      <c r="E501" s="300">
        <f t="shared" si="1307"/>
        <v>85.191999998912991</v>
      </c>
      <c r="F501" s="300"/>
      <c r="G501" s="300">
        <f>SUM(G499:G500)</f>
        <v>39.584999999752938</v>
      </c>
      <c r="H501" s="300">
        <f t="shared" ref="H501" si="1314">SUM(H499:H500)</f>
        <v>30.365999999642959</v>
      </c>
      <c r="I501" s="300">
        <f t="shared" ref="I501" si="1315">SUM(I499:I500)</f>
        <v>8.7289999994159171</v>
      </c>
      <c r="J501" s="300">
        <f t="shared" si="1308"/>
        <v>78.679999998811809</v>
      </c>
      <c r="K501" s="300"/>
      <c r="L501" s="300">
        <f>SUM(L499:L500)</f>
        <v>36.618999999645283</v>
      </c>
      <c r="M501" s="300">
        <f t="shared" ref="M501" si="1316">SUM(M499:M500)</f>
        <v>29.194999999573355</v>
      </c>
      <c r="N501" s="300">
        <f t="shared" ref="N501" si="1317">SUM(N499:N500)</f>
        <v>6.9260000003742173</v>
      </c>
      <c r="O501" s="300">
        <f t="shared" si="1309"/>
        <v>72.739999999592854</v>
      </c>
      <c r="P501" s="300"/>
      <c r="Q501" s="300">
        <f>SUM(Q499:Q500)</f>
        <v>40.19699999950258</v>
      </c>
      <c r="R501" s="300">
        <f t="shared" ref="R501" si="1318">SUM(R499:R500)</f>
        <v>29.492999999291822</v>
      </c>
      <c r="S501" s="300">
        <f t="shared" ref="S501" si="1319">SUM(S499:S500)</f>
        <v>7.5310000000870758</v>
      </c>
      <c r="T501" s="300">
        <f t="shared" si="1310"/>
        <v>77.220999998881481</v>
      </c>
      <c r="U501" s="300"/>
      <c r="V501" s="300">
        <f>SUM(V499:V500)</f>
        <v>45.782999999674836</v>
      </c>
      <c r="W501" s="300">
        <f t="shared" ref="W501" si="1320">SUM(W499:W500)</f>
        <v>28.198999999899989</v>
      </c>
      <c r="X501" s="300">
        <f t="shared" ref="X501" si="1321">SUM(X499:X500)</f>
        <v>8.1090000000831566</v>
      </c>
      <c r="Y501" s="300">
        <f t="shared" si="1311"/>
        <v>82.090999999657981</v>
      </c>
    </row>
    <row r="502" spans="1:25" x14ac:dyDescent="0.2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x14ac:dyDescent="0.2">
      <c r="A503" s="261" t="str">
        <f>name!A71</f>
        <v>Social work</v>
      </c>
      <c r="C503" s="263"/>
    </row>
    <row r="504" spans="1:25" x14ac:dyDescent="0.2">
      <c r="A504" s="260" t="s">
        <v>356</v>
      </c>
      <c r="B504" s="300">
        <v>28.426000000141801</v>
      </c>
      <c r="C504" s="300">
        <v>38.750999999214706</v>
      </c>
      <c r="D504" s="300">
        <v>7.3729999995253461</v>
      </c>
      <c r="E504" s="300">
        <f>SUM(B504:D504)</f>
        <v>74.549999998881859</v>
      </c>
      <c r="F504" s="300"/>
      <c r="G504" s="300">
        <v>27.689999999877035</v>
      </c>
      <c r="H504" s="300">
        <v>35.433999999549101</v>
      </c>
      <c r="I504" s="300">
        <v>7.0589999994439889</v>
      </c>
      <c r="J504" s="300">
        <f>SUM(G504:I504)</f>
        <v>70.182999998870116</v>
      </c>
      <c r="K504" s="300"/>
      <c r="L504" s="300">
        <v>24.950999999916625</v>
      </c>
      <c r="M504" s="300">
        <v>32.430999999431926</v>
      </c>
      <c r="N504" s="300">
        <v>5.0710000003509794</v>
      </c>
      <c r="O504" s="300">
        <f>SUM(L504:N504)</f>
        <v>62.452999999699529</v>
      </c>
      <c r="P504" s="300"/>
      <c r="Q504" s="300">
        <v>27.736999999744334</v>
      </c>
      <c r="R504" s="300">
        <v>32.468999999072246</v>
      </c>
      <c r="S504" s="300">
        <v>5.5529999999591109</v>
      </c>
      <c r="T504" s="300">
        <f>SUM(Q504:S504)</f>
        <v>65.758999998775693</v>
      </c>
      <c r="U504" s="300"/>
      <c r="V504" s="300">
        <v>32.271999999982761</v>
      </c>
      <c r="W504" s="300">
        <v>30.410999999858525</v>
      </c>
      <c r="X504" s="300">
        <v>6.0180000000027691</v>
      </c>
      <c r="Y504" s="300">
        <f>SUM(V504:X504)</f>
        <v>68.700999999844058</v>
      </c>
    </row>
    <row r="505" spans="1:25" x14ac:dyDescent="0.2">
      <c r="A505" s="260" t="s">
        <v>355</v>
      </c>
      <c r="B505" s="300">
        <v>10.527999999881015</v>
      </c>
      <c r="C505" s="300">
        <v>5.2449999999799575</v>
      </c>
      <c r="D505" s="300">
        <v>2.1300000000808792</v>
      </c>
      <c r="E505" s="300">
        <f t="shared" ref="E505:E506" si="1322">SUM(B505:D505)</f>
        <v>17.902999999941851</v>
      </c>
      <c r="F505" s="300"/>
      <c r="G505" s="300">
        <v>8.0669999999084716</v>
      </c>
      <c r="H505" s="300">
        <v>3.1609999999884479</v>
      </c>
      <c r="I505" s="300">
        <v>1.4249999999908651</v>
      </c>
      <c r="J505" s="300">
        <f t="shared" ref="J505:J506" si="1323">SUM(G505:I505)</f>
        <v>12.652999999887784</v>
      </c>
      <c r="K505" s="300"/>
      <c r="L505" s="300">
        <v>8.0119999997915254</v>
      </c>
      <c r="M505" s="300">
        <v>4.2620000000080758</v>
      </c>
      <c r="N505" s="300">
        <v>1.6770000000112359</v>
      </c>
      <c r="O505" s="300">
        <f t="shared" ref="O505:O506" si="1324">SUM(L505:N505)</f>
        <v>13.950999999810836</v>
      </c>
      <c r="P505" s="300"/>
      <c r="Q505" s="300">
        <v>8.5079999998223297</v>
      </c>
      <c r="R505" s="300">
        <v>4.5250000000021089</v>
      </c>
      <c r="S505" s="300">
        <v>1.7830000001289281</v>
      </c>
      <c r="T505" s="300">
        <f t="shared" ref="T505:T506" si="1325">SUM(Q505:S505)</f>
        <v>14.815999999953366</v>
      </c>
      <c r="U505" s="300"/>
      <c r="V505" s="300">
        <v>9.126999999759974</v>
      </c>
      <c r="W505" s="300">
        <v>4.8010000000081314</v>
      </c>
      <c r="X505" s="300">
        <v>1.8800000000800337</v>
      </c>
      <c r="Y505" s="300">
        <f t="shared" ref="Y505:Y506" si="1326">SUM(V505:X505)</f>
        <v>15.807999999848139</v>
      </c>
    </row>
    <row r="506" spans="1:25" x14ac:dyDescent="0.2">
      <c r="A506" s="260" t="s">
        <v>354</v>
      </c>
      <c r="B506" s="300">
        <f>SUM(B504:B505)</f>
        <v>38.954000000022816</v>
      </c>
      <c r="C506" s="300">
        <f t="shared" ref="C506" si="1327">SUM(C504:C505)</f>
        <v>43.995999999194666</v>
      </c>
      <c r="D506" s="300">
        <f t="shared" ref="D506" si="1328">SUM(D504:D505)</f>
        <v>9.5029999996062244</v>
      </c>
      <c r="E506" s="300">
        <f t="shared" si="1322"/>
        <v>92.452999998823714</v>
      </c>
      <c r="F506" s="300"/>
      <c r="G506" s="300">
        <f>SUM(G504:G505)</f>
        <v>35.756999999785506</v>
      </c>
      <c r="H506" s="300">
        <f t="shared" ref="H506" si="1329">SUM(H504:H505)</f>
        <v>38.594999999537549</v>
      </c>
      <c r="I506" s="300">
        <f t="shared" ref="I506" si="1330">SUM(I504:I505)</f>
        <v>8.4839999994348538</v>
      </c>
      <c r="J506" s="300">
        <f t="shared" si="1323"/>
        <v>82.835999998757913</v>
      </c>
      <c r="K506" s="300"/>
      <c r="L506" s="300">
        <f>SUM(L504:L505)</f>
        <v>32.962999999708153</v>
      </c>
      <c r="M506" s="300">
        <f t="shared" ref="M506" si="1331">SUM(M504:M505)</f>
        <v>36.692999999440005</v>
      </c>
      <c r="N506" s="300">
        <f t="shared" ref="N506" si="1332">SUM(N504:N505)</f>
        <v>6.7480000003622154</v>
      </c>
      <c r="O506" s="300">
        <f t="shared" si="1324"/>
        <v>76.403999999510361</v>
      </c>
      <c r="P506" s="300"/>
      <c r="Q506" s="300">
        <f>SUM(Q504:Q505)</f>
        <v>36.244999999566666</v>
      </c>
      <c r="R506" s="300">
        <f t="shared" ref="R506" si="1333">SUM(R504:R505)</f>
        <v>36.993999999074354</v>
      </c>
      <c r="S506" s="300">
        <f t="shared" ref="S506" si="1334">SUM(S504:S505)</f>
        <v>7.3360000000880392</v>
      </c>
      <c r="T506" s="300">
        <f t="shared" si="1325"/>
        <v>80.574999998729055</v>
      </c>
      <c r="U506" s="300"/>
      <c r="V506" s="300">
        <f>SUM(V504:V505)</f>
        <v>41.398999999742735</v>
      </c>
      <c r="W506" s="300">
        <f t="shared" ref="W506" si="1335">SUM(W504:W505)</f>
        <v>35.211999999866656</v>
      </c>
      <c r="X506" s="300">
        <f t="shared" ref="X506" si="1336">SUM(X504:X505)</f>
        <v>7.8980000000828028</v>
      </c>
      <c r="Y506" s="300">
        <f t="shared" si="1326"/>
        <v>84.508999999692193</v>
      </c>
    </row>
    <row r="507" spans="1:25" x14ac:dyDescent="0.2">
      <c r="C507" s="263"/>
    </row>
    <row r="508" spans="1:25" x14ac:dyDescent="0.2">
      <c r="A508" s="261" t="s">
        <v>359</v>
      </c>
      <c r="C508" s="263"/>
    </row>
    <row r="509" spans="1:25" x14ac:dyDescent="0.2">
      <c r="A509" s="260" t="s">
        <v>356</v>
      </c>
      <c r="B509" s="300">
        <f>SUM(B494,B499,B504)</f>
        <v>125.00600000062362</v>
      </c>
      <c r="C509" s="300">
        <f t="shared" ref="C509:D509" si="1337">SUM(C494,C499,C504)</f>
        <v>152.52799999690893</v>
      </c>
      <c r="D509" s="300">
        <f t="shared" si="1337"/>
        <v>29.499999998100876</v>
      </c>
      <c r="E509" s="300">
        <f>SUM(B509:D509)</f>
        <v>307.03399999563339</v>
      </c>
      <c r="F509" s="300"/>
      <c r="G509" s="300">
        <f>SUM(G494,G499,G504)</f>
        <v>137.64699999938867</v>
      </c>
      <c r="H509" s="300">
        <f t="shared" ref="H509:I509" si="1338">SUM(H494,H499,H504)</f>
        <v>149.19399999810156</v>
      </c>
      <c r="I509" s="300">
        <f t="shared" si="1338"/>
        <v>29.89999999764489</v>
      </c>
      <c r="J509" s="300">
        <f>SUM(G509:I509)</f>
        <v>316.74099999513516</v>
      </c>
      <c r="K509" s="300"/>
      <c r="L509" s="300">
        <f>SUM(L494,L499,L504)</f>
        <v>128.19399999957164</v>
      </c>
      <c r="M509" s="300">
        <f t="shared" ref="M509:N509" si="1339">SUM(M494,M499,M504)</f>
        <v>142.2619999975081</v>
      </c>
      <c r="N509" s="300">
        <f t="shared" si="1339"/>
        <v>22.857000001581994</v>
      </c>
      <c r="O509" s="300">
        <f>SUM(L509:N509)</f>
        <v>293.31299999866172</v>
      </c>
      <c r="P509" s="300"/>
      <c r="Q509" s="300">
        <f>SUM(Q494,Q499,Q504)</f>
        <v>143.91299999867354</v>
      </c>
      <c r="R509" s="300">
        <f t="shared" ref="R509:S509" si="1340">SUM(R494,R499,R504)</f>
        <v>150.83499999569011</v>
      </c>
      <c r="S509" s="300">
        <f t="shared" si="1340"/>
        <v>26.327999999806117</v>
      </c>
      <c r="T509" s="300">
        <f>SUM(Q509:S509)</f>
        <v>321.07599999416982</v>
      </c>
      <c r="U509" s="300"/>
      <c r="V509" s="300">
        <f>SUM(V494,V499,V504)</f>
        <v>170.56299999990887</v>
      </c>
      <c r="W509" s="300">
        <f t="shared" ref="W509:X509" si="1341">SUM(W494,W499,W504)</f>
        <v>159.63999999925718</v>
      </c>
      <c r="X509" s="300">
        <f t="shared" si="1341"/>
        <v>32.282000000014861</v>
      </c>
      <c r="Y509" s="300">
        <f>SUM(V509:X509)</f>
        <v>362.48499999918096</v>
      </c>
    </row>
    <row r="510" spans="1:25" x14ac:dyDescent="0.2">
      <c r="A510" s="260" t="s">
        <v>355</v>
      </c>
      <c r="B510" s="300">
        <f>SUM(B495,B500,B505)</f>
        <v>51.503999999417942</v>
      </c>
      <c r="C510" s="300">
        <f t="shared" ref="C510:D510" si="1342">SUM(C495,C500,C505)</f>
        <v>21.880999999916373</v>
      </c>
      <c r="D510" s="300">
        <f t="shared" si="1342"/>
        <v>12.766000000484755</v>
      </c>
      <c r="E510" s="300">
        <f t="shared" ref="E510:E511" si="1343">SUM(B510:D510)</f>
        <v>86.150999999819064</v>
      </c>
      <c r="F510" s="300"/>
      <c r="G510" s="300">
        <f>SUM(G495,G500,G505)</f>
        <v>49.657999999436541</v>
      </c>
      <c r="H510" s="300">
        <f t="shared" ref="H510:I510" si="1344">SUM(H495,H500,H505)</f>
        <v>14.945999999945386</v>
      </c>
      <c r="I510" s="300">
        <f t="shared" si="1344"/>
        <v>9.4579999999393483</v>
      </c>
      <c r="J510" s="300">
        <f t="shared" ref="J510:J511" si="1345">SUM(G510:I510)</f>
        <v>74.061999999321273</v>
      </c>
      <c r="K510" s="300"/>
      <c r="L510" s="300">
        <f>SUM(L495,L500,L505)</f>
        <v>48.732999998732041</v>
      </c>
      <c r="M510" s="300">
        <f t="shared" ref="M510:N510" si="1346">SUM(M495,M500,M505)</f>
        <v>19.766000000037458</v>
      </c>
      <c r="N510" s="300">
        <f t="shared" si="1346"/>
        <v>13.566000000090892</v>
      </c>
      <c r="O510" s="300">
        <f t="shared" ref="O510:O511" si="1347">SUM(L510:N510)</f>
        <v>82.064999998860401</v>
      </c>
      <c r="P510" s="300"/>
      <c r="Q510" s="300">
        <f>SUM(Q495,Q500,Q505)</f>
        <v>53.569999998881244</v>
      </c>
      <c r="R510" s="300">
        <f t="shared" ref="R510:S510" si="1348">SUM(R495,R500,R505)</f>
        <v>22.053000000010258</v>
      </c>
      <c r="S510" s="300">
        <f t="shared" si="1348"/>
        <v>14.413000001042198</v>
      </c>
      <c r="T510" s="300">
        <f t="shared" ref="T510:T511" si="1349">SUM(Q510:S510)</f>
        <v>90.035999999933694</v>
      </c>
      <c r="U510" s="300"/>
      <c r="V510" s="300">
        <f>SUM(V495,V500,V505)</f>
        <v>61.210999998390257</v>
      </c>
      <c r="W510" s="300">
        <f t="shared" ref="W510:X510" si="1350">SUM(W495,W500,W505)</f>
        <v>25.890000000043848</v>
      </c>
      <c r="X510" s="300">
        <f t="shared" si="1350"/>
        <v>15.174000000645968</v>
      </c>
      <c r="Y510" s="300">
        <f t="shared" ref="Y510:Y511" si="1351">SUM(V510:X510)</f>
        <v>102.27499999908008</v>
      </c>
    </row>
    <row r="511" spans="1:25" x14ac:dyDescent="0.2">
      <c r="A511" s="264" t="s">
        <v>354</v>
      </c>
      <c r="B511" s="301">
        <f>SUM(B509:B510)</f>
        <v>176.51000000004154</v>
      </c>
      <c r="C511" s="301">
        <f t="shared" ref="C511" si="1352">SUM(C509:C510)</f>
        <v>174.40899999682532</v>
      </c>
      <c r="D511" s="301">
        <f t="shared" ref="D511" si="1353">SUM(D509:D510)</f>
        <v>42.265999998585627</v>
      </c>
      <c r="E511" s="301">
        <f t="shared" si="1343"/>
        <v>393.18499999545253</v>
      </c>
      <c r="F511" s="301"/>
      <c r="G511" s="301">
        <f>SUM(G509:G510)</f>
        <v>187.30499999882522</v>
      </c>
      <c r="H511" s="301">
        <f t="shared" ref="H511" si="1354">SUM(H509:H510)</f>
        <v>164.13999999804696</v>
      </c>
      <c r="I511" s="301">
        <f t="shared" ref="I511" si="1355">SUM(I509:I510)</f>
        <v>39.357999997584237</v>
      </c>
      <c r="J511" s="301">
        <f t="shared" si="1345"/>
        <v>390.8029999944564</v>
      </c>
      <c r="K511" s="301"/>
      <c r="L511" s="301">
        <f>SUM(L509:L510)</f>
        <v>176.9269999983037</v>
      </c>
      <c r="M511" s="301">
        <f t="shared" ref="M511" si="1356">SUM(M509:M510)</f>
        <v>162.02799999754555</v>
      </c>
      <c r="N511" s="301">
        <f t="shared" ref="N511" si="1357">SUM(N509:N510)</f>
        <v>36.423000001672889</v>
      </c>
      <c r="O511" s="301">
        <f t="shared" si="1347"/>
        <v>375.37799999752212</v>
      </c>
      <c r="P511" s="301"/>
      <c r="Q511" s="301">
        <f>SUM(Q509:Q510)</f>
        <v>197.48299999755477</v>
      </c>
      <c r="R511" s="301">
        <f t="shared" ref="R511" si="1358">SUM(R509:R510)</f>
        <v>172.88799999570037</v>
      </c>
      <c r="S511" s="301">
        <f t="shared" ref="S511" si="1359">SUM(S509:S510)</f>
        <v>40.741000000848317</v>
      </c>
      <c r="T511" s="301">
        <f t="shared" si="1349"/>
        <v>411.11199999410348</v>
      </c>
      <c r="U511" s="301"/>
      <c r="V511" s="301">
        <f>SUM(V509:V510)</f>
        <v>231.77399999829913</v>
      </c>
      <c r="W511" s="301">
        <f t="shared" ref="W511" si="1360">SUM(W509:W510)</f>
        <v>185.52999999930103</v>
      </c>
      <c r="X511" s="301">
        <f t="shared" ref="X511" si="1361">SUM(X509:X510)</f>
        <v>47.456000000660829</v>
      </c>
      <c r="Y511" s="301">
        <f t="shared" si="1351"/>
        <v>464.75999999826098</v>
      </c>
    </row>
    <row r="512" spans="1:25" x14ac:dyDescent="0.2">
      <c r="C512" s="263"/>
    </row>
    <row r="513" spans="1:25" x14ac:dyDescent="0.2">
      <c r="A513" s="261"/>
    </row>
    <row r="514" spans="1:25" x14ac:dyDescent="0.2">
      <c r="C514" s="263"/>
    </row>
    <row r="515" spans="1:25" ht="15" x14ac:dyDescent="0.25">
      <c r="A515" s="265" t="str">
        <f>"Industry 21 : "&amp; name!B24</f>
        <v>Industry 21 : Arts and entertainment</v>
      </c>
      <c r="B515" s="371">
        <f>$B$5</f>
        <v>2015</v>
      </c>
      <c r="C515" s="371"/>
      <c r="D515" s="371"/>
      <c r="E515" s="371"/>
      <c r="F515" s="320"/>
      <c r="G515" s="371">
        <f>$G$5</f>
        <v>2019</v>
      </c>
      <c r="H515" s="371"/>
      <c r="I515" s="371"/>
      <c r="J515" s="371"/>
      <c r="K515" s="320"/>
      <c r="L515" s="371">
        <f>$L$5</f>
        <v>2020</v>
      </c>
      <c r="M515" s="371"/>
      <c r="N515" s="371"/>
      <c r="O515" s="371"/>
      <c r="P515" s="318"/>
      <c r="Q515" s="371">
        <f>$Q$5</f>
        <v>2025</v>
      </c>
      <c r="R515" s="371"/>
      <c r="S515" s="371"/>
      <c r="T515" s="371"/>
      <c r="U515" s="320"/>
      <c r="V515" s="371">
        <f>$V$5</f>
        <v>2035</v>
      </c>
      <c r="W515" s="371"/>
      <c r="X515" s="371"/>
      <c r="Y515" s="371"/>
    </row>
    <row r="516" spans="1:25" x14ac:dyDescent="0.2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2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x14ac:dyDescent="0.2">
      <c r="A518" s="261" t="str">
        <f>name!A72</f>
        <v>Arts and entertainment</v>
      </c>
      <c r="C518" s="263"/>
    </row>
    <row r="519" spans="1:25" x14ac:dyDescent="0.2">
      <c r="A519" s="260" t="s">
        <v>356</v>
      </c>
      <c r="B519" s="300">
        <v>2.4670000000125767</v>
      </c>
      <c r="C519" s="300">
        <v>1.6699999999943507</v>
      </c>
      <c r="D519" s="300">
        <v>2.1030000000716687</v>
      </c>
      <c r="E519" s="300">
        <f>SUM(B519:D519)</f>
        <v>6.240000000078596</v>
      </c>
      <c r="F519" s="300"/>
      <c r="G519" s="300">
        <v>2.1329999999623142</v>
      </c>
      <c r="H519" s="300">
        <v>2.3940000000196031</v>
      </c>
      <c r="I519" s="300">
        <v>3.1679999999730821</v>
      </c>
      <c r="J519" s="300">
        <f>SUM(G519:I519)</f>
        <v>7.6949999999549998</v>
      </c>
      <c r="K519" s="300"/>
      <c r="L519" s="300">
        <v>1.9039999999775019</v>
      </c>
      <c r="M519" s="300">
        <v>2.294000000010961</v>
      </c>
      <c r="N519" s="300">
        <v>3.7669999998565067</v>
      </c>
      <c r="O519" s="300">
        <f>SUM(L519:N519)</f>
        <v>7.9649999998449701</v>
      </c>
      <c r="P519" s="300"/>
      <c r="Q519" s="300">
        <v>2.1339999999809072</v>
      </c>
      <c r="R519" s="300">
        <v>2.7700000000296217</v>
      </c>
      <c r="S519" s="300">
        <v>4.2609999998440324</v>
      </c>
      <c r="T519" s="300">
        <f>SUM(Q519:S519)</f>
        <v>9.1649999998545617</v>
      </c>
      <c r="U519" s="300"/>
      <c r="V519" s="300">
        <v>2.1940000000187525</v>
      </c>
      <c r="W519" s="300">
        <v>3.1269999999881959</v>
      </c>
      <c r="X519" s="300">
        <v>5.009000000085158</v>
      </c>
      <c r="Y519" s="300">
        <f>SUM(V519:X519)</f>
        <v>10.330000000092106</v>
      </c>
    </row>
    <row r="520" spans="1:25" x14ac:dyDescent="0.2">
      <c r="A520" s="260" t="s">
        <v>355</v>
      </c>
      <c r="B520" s="300">
        <v>1.7659999999962532</v>
      </c>
      <c r="C520" s="300">
        <v>0.34300000000258063</v>
      </c>
      <c r="D520" s="300">
        <v>3.3900000000964803</v>
      </c>
      <c r="E520" s="300">
        <f t="shared" ref="E520:E521" si="1362">SUM(B520:D520)</f>
        <v>5.4990000000953145</v>
      </c>
      <c r="F520" s="300"/>
      <c r="G520" s="300">
        <v>2.1579999999968265</v>
      </c>
      <c r="H520" s="300">
        <v>0.70200000000508078</v>
      </c>
      <c r="I520" s="300">
        <v>3.5870000000117517</v>
      </c>
      <c r="J520" s="300">
        <f t="shared" ref="J520:J521" si="1363">SUM(G520:I520)</f>
        <v>6.4470000000136594</v>
      </c>
      <c r="K520" s="300"/>
      <c r="L520" s="300">
        <v>1.7969999999963158</v>
      </c>
      <c r="M520" s="300">
        <v>0.66600000000542492</v>
      </c>
      <c r="N520" s="300">
        <v>2.5440000000557332</v>
      </c>
      <c r="O520" s="300">
        <f t="shared" ref="O520:O521" si="1364">SUM(L520:N520)</f>
        <v>5.0070000000574737</v>
      </c>
      <c r="P520" s="300"/>
      <c r="Q520" s="300">
        <v>2.0760000000001977</v>
      </c>
      <c r="R520" s="300">
        <v>0.77000000000550006</v>
      </c>
      <c r="S520" s="300">
        <v>2.7570000001840396</v>
      </c>
      <c r="T520" s="300">
        <f t="shared" ref="T520:T521" si="1365">SUM(Q520:S520)</f>
        <v>5.6030000001897378</v>
      </c>
      <c r="U520" s="300"/>
      <c r="V520" s="300">
        <v>2.2949999999961088</v>
      </c>
      <c r="W520" s="300">
        <v>0.81600000000941075</v>
      </c>
      <c r="X520" s="300">
        <v>2.7880000001396739</v>
      </c>
      <c r="Y520" s="300">
        <f t="shared" ref="Y520:Y521" si="1366">SUM(V520:X520)</f>
        <v>5.8990000001451932</v>
      </c>
    </row>
    <row r="521" spans="1:25" x14ac:dyDescent="0.2">
      <c r="A521" s="260" t="s">
        <v>354</v>
      </c>
      <c r="B521" s="300">
        <f>SUM(B519:B520)</f>
        <v>4.2330000000088299</v>
      </c>
      <c r="C521" s="300">
        <f t="shared" ref="C521" si="1367">SUM(C519:C520)</f>
        <v>2.0129999999969312</v>
      </c>
      <c r="D521" s="300">
        <f t="shared" ref="D521" si="1368">SUM(D519:D520)</f>
        <v>5.4930000001681485</v>
      </c>
      <c r="E521" s="300">
        <f t="shared" si="1362"/>
        <v>11.73900000017391</v>
      </c>
      <c r="F521" s="300"/>
      <c r="G521" s="300">
        <f>SUM(G519:G520)</f>
        <v>4.2909999999591406</v>
      </c>
      <c r="H521" s="300">
        <f t="shared" ref="H521" si="1369">SUM(H519:H520)</f>
        <v>3.0960000000246839</v>
      </c>
      <c r="I521" s="300">
        <f t="shared" ref="I521" si="1370">SUM(I519:I520)</f>
        <v>6.7549999999848342</v>
      </c>
      <c r="J521" s="300">
        <f t="shared" si="1363"/>
        <v>14.141999999968659</v>
      </c>
      <c r="K521" s="300"/>
      <c r="L521" s="300">
        <f>SUM(L519:L520)</f>
        <v>3.7009999999738179</v>
      </c>
      <c r="M521" s="300">
        <f t="shared" ref="M521" si="1371">SUM(M519:M520)</f>
        <v>2.960000000016386</v>
      </c>
      <c r="N521" s="300">
        <f t="shared" ref="N521" si="1372">SUM(N519:N520)</f>
        <v>6.3109999999122399</v>
      </c>
      <c r="O521" s="300">
        <f t="shared" si="1364"/>
        <v>12.971999999902444</v>
      </c>
      <c r="P521" s="300"/>
      <c r="Q521" s="300">
        <f>SUM(Q519:Q520)</f>
        <v>4.2099999999811049</v>
      </c>
      <c r="R521" s="300">
        <f t="shared" ref="R521" si="1373">SUM(R519:R520)</f>
        <v>3.5400000000351217</v>
      </c>
      <c r="S521" s="300">
        <f t="shared" ref="S521" si="1374">SUM(S519:S520)</f>
        <v>7.0180000000280724</v>
      </c>
      <c r="T521" s="300">
        <f t="shared" si="1365"/>
        <v>14.768000000044299</v>
      </c>
      <c r="U521" s="300"/>
      <c r="V521" s="300">
        <f>SUM(V519:V520)</f>
        <v>4.4890000000148618</v>
      </c>
      <c r="W521" s="300">
        <f t="shared" ref="W521" si="1375">SUM(W519:W520)</f>
        <v>3.9429999999976069</v>
      </c>
      <c r="X521" s="300">
        <f t="shared" ref="X521" si="1376">SUM(X519:X520)</f>
        <v>7.7970000002248323</v>
      </c>
      <c r="Y521" s="300">
        <f t="shared" si="1366"/>
        <v>16.229000000237299</v>
      </c>
    </row>
    <row r="522" spans="1:25" x14ac:dyDescent="0.2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x14ac:dyDescent="0.2">
      <c r="A523" s="261" t="str">
        <f>name!A73</f>
        <v>Libraries, etc</v>
      </c>
      <c r="C523" s="263"/>
    </row>
    <row r="524" spans="1:25" x14ac:dyDescent="0.2">
      <c r="A524" s="260" t="s">
        <v>356</v>
      </c>
      <c r="B524" s="300">
        <v>2.2730000000115909</v>
      </c>
      <c r="C524" s="300">
        <v>3.6969999999874954</v>
      </c>
      <c r="D524" s="300">
        <v>3.3580000001144397</v>
      </c>
      <c r="E524" s="300">
        <f>SUM(B524:D524)</f>
        <v>9.3280000001135264</v>
      </c>
      <c r="F524" s="300"/>
      <c r="G524" s="300">
        <v>1.5969999999717841</v>
      </c>
      <c r="H524" s="300">
        <v>2.9440000000241016</v>
      </c>
      <c r="I524" s="300">
        <v>3.3999999999711066</v>
      </c>
      <c r="J524" s="300">
        <f>SUM(G524:I524)</f>
        <v>7.9409999999669925</v>
      </c>
      <c r="K524" s="300"/>
      <c r="L524" s="300">
        <v>1.4249999999831613</v>
      </c>
      <c r="M524" s="300">
        <v>2.8210000000134818</v>
      </c>
      <c r="N524" s="300">
        <v>4.0429999998459927</v>
      </c>
      <c r="O524" s="300">
        <f>SUM(L524:N524)</f>
        <v>8.2889999998426358</v>
      </c>
      <c r="P524" s="300"/>
      <c r="Q524" s="300">
        <v>1.5969999999857116</v>
      </c>
      <c r="R524" s="300">
        <v>3.4060000000364234</v>
      </c>
      <c r="S524" s="300">
        <v>4.5729999998326072</v>
      </c>
      <c r="T524" s="300">
        <f>SUM(Q524:S524)</f>
        <v>9.5759999998547425</v>
      </c>
      <c r="U524" s="300"/>
      <c r="V524" s="300">
        <v>1.6420000000140362</v>
      </c>
      <c r="W524" s="300">
        <v>3.8459999999854806</v>
      </c>
      <c r="X524" s="300">
        <v>5.3770000000914093</v>
      </c>
      <c r="Y524" s="300">
        <f>SUM(V524:X524)</f>
        <v>10.865000000090927</v>
      </c>
    </row>
    <row r="525" spans="1:25" x14ac:dyDescent="0.2">
      <c r="A525" s="260" t="s">
        <v>355</v>
      </c>
      <c r="B525" s="300">
        <v>2.5929999999945017</v>
      </c>
      <c r="C525" s="300">
        <v>0.96000000000722219</v>
      </c>
      <c r="D525" s="300">
        <v>6.4260000001828876</v>
      </c>
      <c r="E525" s="300">
        <f t="shared" ref="E525:E526" si="1377">SUM(B525:D525)</f>
        <v>9.9790000001846124</v>
      </c>
      <c r="F525" s="300"/>
      <c r="G525" s="300">
        <v>2.5759999999962093</v>
      </c>
      <c r="H525" s="300">
        <v>1.0910000000078972</v>
      </c>
      <c r="I525" s="300">
        <v>4.5710000000149771</v>
      </c>
      <c r="J525" s="300">
        <f t="shared" ref="J525:J526" si="1378">SUM(G525:I525)</f>
        <v>8.2380000000190847</v>
      </c>
      <c r="K525" s="300"/>
      <c r="L525" s="300">
        <v>2.1449999999956018</v>
      </c>
      <c r="M525" s="300">
        <v>1.0350000000084303</v>
      </c>
      <c r="N525" s="300">
        <v>3.2430000000710475</v>
      </c>
      <c r="O525" s="300">
        <f t="shared" ref="O525:O526" si="1379">SUM(L525:N525)</f>
        <v>6.4230000000750795</v>
      </c>
      <c r="P525" s="300"/>
      <c r="Q525" s="300">
        <v>2.4780000000002356</v>
      </c>
      <c r="R525" s="300">
        <v>1.1960000000085422</v>
      </c>
      <c r="S525" s="300">
        <v>3.5140000002345713</v>
      </c>
      <c r="T525" s="300">
        <f t="shared" ref="T525:T526" si="1380">SUM(Q525:S525)</f>
        <v>7.1880000002433491</v>
      </c>
      <c r="U525" s="300"/>
      <c r="V525" s="300">
        <v>2.7379999999953535</v>
      </c>
      <c r="W525" s="300">
        <v>1.2670000000146113</v>
      </c>
      <c r="X525" s="300">
        <v>3.5530000001780051</v>
      </c>
      <c r="Y525" s="300">
        <f t="shared" ref="Y525:Y526" si="1381">SUM(V525:X525)</f>
        <v>7.5580000001879695</v>
      </c>
    </row>
    <row r="526" spans="1:25" x14ac:dyDescent="0.2">
      <c r="A526" s="260" t="s">
        <v>354</v>
      </c>
      <c r="B526" s="300">
        <f>SUM(B524:B525)</f>
        <v>4.8660000000060926</v>
      </c>
      <c r="C526" s="300">
        <f t="shared" ref="C526" si="1382">SUM(C524:C525)</f>
        <v>4.6569999999947171</v>
      </c>
      <c r="D526" s="300">
        <f t="shared" ref="D526" si="1383">SUM(D524:D525)</f>
        <v>9.7840000002973273</v>
      </c>
      <c r="E526" s="300">
        <f t="shared" si="1377"/>
        <v>19.307000000298139</v>
      </c>
      <c r="F526" s="300"/>
      <c r="G526" s="300">
        <f>SUM(G524:G525)</f>
        <v>4.1729999999679936</v>
      </c>
      <c r="H526" s="300">
        <f t="shared" ref="H526" si="1384">SUM(H524:H525)</f>
        <v>4.0350000000319985</v>
      </c>
      <c r="I526" s="300">
        <f t="shared" ref="I526" si="1385">SUM(I524:I525)</f>
        <v>7.9709999999860841</v>
      </c>
      <c r="J526" s="300">
        <f t="shared" si="1378"/>
        <v>16.178999999986075</v>
      </c>
      <c r="K526" s="300"/>
      <c r="L526" s="300">
        <f>SUM(L524:L525)</f>
        <v>3.5699999999787631</v>
      </c>
      <c r="M526" s="300">
        <f t="shared" ref="M526" si="1386">SUM(M524:M525)</f>
        <v>3.8560000000219121</v>
      </c>
      <c r="N526" s="300">
        <f t="shared" ref="N526" si="1387">SUM(N524:N525)</f>
        <v>7.2859999999170402</v>
      </c>
      <c r="O526" s="300">
        <f t="shared" si="1379"/>
        <v>14.711999999917715</v>
      </c>
      <c r="P526" s="300"/>
      <c r="Q526" s="300">
        <f>SUM(Q524:Q525)</f>
        <v>4.0749999999859474</v>
      </c>
      <c r="R526" s="300">
        <f t="shared" ref="R526" si="1388">SUM(R524:R525)</f>
        <v>4.6020000000449652</v>
      </c>
      <c r="S526" s="300">
        <f t="shared" ref="S526" si="1389">SUM(S524:S525)</f>
        <v>8.087000000067178</v>
      </c>
      <c r="T526" s="300">
        <f t="shared" si="1380"/>
        <v>16.76400000009809</v>
      </c>
      <c r="U526" s="300"/>
      <c r="V526" s="300">
        <f>SUM(V524:V525)</f>
        <v>4.3800000000093897</v>
      </c>
      <c r="W526" s="300">
        <f t="shared" ref="W526" si="1390">SUM(W524:W525)</f>
        <v>5.1130000000000919</v>
      </c>
      <c r="X526" s="300">
        <f t="shared" ref="X526" si="1391">SUM(X524:X525)</f>
        <v>8.9300000002694144</v>
      </c>
      <c r="Y526" s="300">
        <f t="shared" si="1381"/>
        <v>18.423000000278897</v>
      </c>
    </row>
    <row r="527" spans="1:25" x14ac:dyDescent="0.2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x14ac:dyDescent="0.2">
      <c r="A528" s="261" t="str">
        <f>name!A74</f>
        <v>Gambling and betting</v>
      </c>
      <c r="C528" s="263"/>
    </row>
    <row r="529" spans="1:25" x14ac:dyDescent="0.2">
      <c r="A529" s="260" t="s">
        <v>356</v>
      </c>
      <c r="B529" s="300">
        <v>0.86600000000441579</v>
      </c>
      <c r="C529" s="300">
        <v>0.74699999999747302</v>
      </c>
      <c r="D529" s="300">
        <v>0.55900000001905004</v>
      </c>
      <c r="E529" s="300">
        <f>SUM(B529:D529)</f>
        <v>2.1720000000209385</v>
      </c>
      <c r="F529" s="300"/>
      <c r="G529" s="300">
        <v>0.61099999998920529</v>
      </c>
      <c r="H529" s="300">
        <v>0.70100000000573903</v>
      </c>
      <c r="I529" s="300">
        <v>0.53199999999547942</v>
      </c>
      <c r="J529" s="300">
        <f>SUM(G529:I529)</f>
        <v>1.8439999999904237</v>
      </c>
      <c r="K529" s="300"/>
      <c r="L529" s="300">
        <v>0.49499999999415106</v>
      </c>
      <c r="M529" s="300">
        <v>0.66900000000319648</v>
      </c>
      <c r="N529" s="300">
        <v>0.51399999998042112</v>
      </c>
      <c r="O529" s="300">
        <f>SUM(L529:N529)</f>
        <v>1.6779999999777688</v>
      </c>
      <c r="P529" s="300"/>
      <c r="Q529" s="300">
        <v>0.56399999999495476</v>
      </c>
      <c r="R529" s="300">
        <v>0.78500000000839454</v>
      </c>
      <c r="S529" s="300">
        <v>0.5899999999784028</v>
      </c>
      <c r="T529" s="300">
        <f>SUM(Q529:S529)</f>
        <v>1.938999999981752</v>
      </c>
      <c r="U529" s="300"/>
      <c r="V529" s="300">
        <v>0.61600000000526567</v>
      </c>
      <c r="W529" s="300">
        <v>0.89699999999661351</v>
      </c>
      <c r="X529" s="300">
        <v>0.66700000001133986</v>
      </c>
      <c r="Y529" s="300">
        <f>SUM(V529:X529)</f>
        <v>2.1800000000132194</v>
      </c>
    </row>
    <row r="530" spans="1:25" x14ac:dyDescent="0.2">
      <c r="A530" s="260" t="s">
        <v>355</v>
      </c>
      <c r="B530" s="300">
        <v>1.6769999999964442</v>
      </c>
      <c r="C530" s="300">
        <v>0.83700000000629671</v>
      </c>
      <c r="D530" s="300">
        <v>0.88500000002518786</v>
      </c>
      <c r="E530" s="300">
        <f t="shared" ref="E530:E531" si="1392">SUM(B530:D530)</f>
        <v>3.3990000000279288</v>
      </c>
      <c r="F530" s="300"/>
      <c r="G530" s="300">
        <v>1.7789999999973811</v>
      </c>
      <c r="H530" s="300">
        <v>1.0140000000073395</v>
      </c>
      <c r="I530" s="300">
        <v>0.76000000000249035</v>
      </c>
      <c r="J530" s="300">
        <f t="shared" ref="J530:J531" si="1393">SUM(G530:I530)</f>
        <v>3.5530000000072111</v>
      </c>
      <c r="K530" s="300"/>
      <c r="L530" s="300">
        <v>1.7359999999964411</v>
      </c>
      <c r="M530" s="300">
        <v>0.83000000000676089</v>
      </c>
      <c r="N530" s="300">
        <v>0.63000000001380196</v>
      </c>
      <c r="O530" s="300">
        <f t="shared" ref="O530:O531" si="1394">SUM(L530:N530)</f>
        <v>3.1960000000170039</v>
      </c>
      <c r="P530" s="300"/>
      <c r="Q530" s="300">
        <v>2.044000000000195</v>
      </c>
      <c r="R530" s="300">
        <v>1.0090000000072061</v>
      </c>
      <c r="S530" s="300">
        <v>0.79100000005280291</v>
      </c>
      <c r="T530" s="300">
        <f t="shared" ref="T530:T531" si="1395">SUM(Q530:S530)</f>
        <v>3.8440000000602041</v>
      </c>
      <c r="U530" s="300"/>
      <c r="V530" s="300">
        <v>2.3819999999959611</v>
      </c>
      <c r="W530" s="300">
        <v>1.2330000000142198</v>
      </c>
      <c r="X530" s="300">
        <v>1.0360000000519018</v>
      </c>
      <c r="Y530" s="300">
        <f t="shared" ref="Y530:Y531" si="1396">SUM(V530:X530)</f>
        <v>4.6510000000620826</v>
      </c>
    </row>
    <row r="531" spans="1:25" x14ac:dyDescent="0.2">
      <c r="A531" s="260" t="s">
        <v>354</v>
      </c>
      <c r="B531" s="300">
        <f>SUM(B529:B530)</f>
        <v>2.5430000000008599</v>
      </c>
      <c r="C531" s="300">
        <f t="shared" ref="C531" si="1397">SUM(C529:C530)</f>
        <v>1.5840000000037697</v>
      </c>
      <c r="D531" s="300">
        <f t="shared" ref="D531" si="1398">SUM(D529:D530)</f>
        <v>1.4440000000442379</v>
      </c>
      <c r="E531" s="300">
        <f t="shared" si="1392"/>
        <v>5.5710000000488673</v>
      </c>
      <c r="F531" s="300"/>
      <c r="G531" s="300">
        <f>SUM(G529:G530)</f>
        <v>2.3899999999865864</v>
      </c>
      <c r="H531" s="300">
        <f t="shared" ref="H531" si="1399">SUM(H529:H530)</f>
        <v>1.7150000000130785</v>
      </c>
      <c r="I531" s="300">
        <f t="shared" ref="I531" si="1400">SUM(I529:I530)</f>
        <v>1.2919999999979699</v>
      </c>
      <c r="J531" s="300">
        <f t="shared" si="1393"/>
        <v>5.3969999999976341</v>
      </c>
      <c r="K531" s="300"/>
      <c r="L531" s="300">
        <f>SUM(L529:L530)</f>
        <v>2.2309999999905923</v>
      </c>
      <c r="M531" s="300">
        <f t="shared" ref="M531" si="1401">SUM(M529:M530)</f>
        <v>1.4990000000099575</v>
      </c>
      <c r="N531" s="300">
        <f t="shared" ref="N531" si="1402">SUM(N529:N530)</f>
        <v>1.143999999994223</v>
      </c>
      <c r="O531" s="300">
        <f t="shared" si="1394"/>
        <v>4.8739999999947727</v>
      </c>
      <c r="P531" s="300"/>
      <c r="Q531" s="300">
        <f>SUM(Q529:Q530)</f>
        <v>2.6079999999951498</v>
      </c>
      <c r="R531" s="300">
        <f t="shared" ref="R531" si="1403">SUM(R529:R530)</f>
        <v>1.7940000000156007</v>
      </c>
      <c r="S531" s="300">
        <f t="shared" ref="S531" si="1404">SUM(S529:S530)</f>
        <v>1.3810000000312057</v>
      </c>
      <c r="T531" s="300">
        <f t="shared" si="1395"/>
        <v>5.7830000000419561</v>
      </c>
      <c r="U531" s="300"/>
      <c r="V531" s="300">
        <f>SUM(V529:V530)</f>
        <v>2.9980000000012268</v>
      </c>
      <c r="W531" s="300">
        <f t="shared" ref="W531" si="1405">SUM(W529:W530)</f>
        <v>2.1300000000108334</v>
      </c>
      <c r="X531" s="300">
        <f t="shared" ref="X531" si="1406">SUM(X529:X530)</f>
        <v>1.7030000000632417</v>
      </c>
      <c r="Y531" s="300">
        <f t="shared" si="1396"/>
        <v>6.8310000000753011</v>
      </c>
    </row>
    <row r="532" spans="1:25" x14ac:dyDescent="0.2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x14ac:dyDescent="0.2">
      <c r="A533" s="261" t="str">
        <f>name!A75</f>
        <v>Sport and recreation</v>
      </c>
      <c r="C533" s="263"/>
    </row>
    <row r="534" spans="1:25" x14ac:dyDescent="0.2">
      <c r="A534" s="260" t="s">
        <v>356</v>
      </c>
      <c r="B534" s="300">
        <v>6.9510000000221126</v>
      </c>
      <c r="C534" s="300">
        <v>13.932999999957365</v>
      </c>
      <c r="D534" s="300">
        <v>5.197000000171851</v>
      </c>
      <c r="E534" s="300">
        <f>SUM(B534:D534)</f>
        <v>26.081000000151331</v>
      </c>
      <c r="F534" s="300"/>
      <c r="G534" s="300">
        <v>6.8719999998861976</v>
      </c>
      <c r="H534" s="300">
        <v>14.827000000126745</v>
      </c>
      <c r="I534" s="300">
        <v>5.9499999999678179</v>
      </c>
      <c r="J534" s="300">
        <f>SUM(G534:I534)</f>
        <v>27.648999999980763</v>
      </c>
      <c r="K534" s="300"/>
      <c r="L534" s="300">
        <v>5.5649999999383422</v>
      </c>
      <c r="M534" s="300">
        <v>14.155000000073125</v>
      </c>
      <c r="N534" s="300">
        <v>5.7439999997879703</v>
      </c>
      <c r="O534" s="300">
        <f>SUM(L534:N534)</f>
        <v>25.463999999799437</v>
      </c>
      <c r="P534" s="300"/>
      <c r="Q534" s="300">
        <v>6.335999999971401</v>
      </c>
      <c r="R534" s="300">
        <v>16.600000000185307</v>
      </c>
      <c r="S534" s="300">
        <v>6.59499999978466</v>
      </c>
      <c r="T534" s="300">
        <f>SUM(Q534:S534)</f>
        <v>29.530999999941372</v>
      </c>
      <c r="U534" s="300"/>
      <c r="V534" s="300">
        <v>6.9280000000506359</v>
      </c>
      <c r="W534" s="300">
        <v>18.97799999992727</v>
      </c>
      <c r="X534" s="300">
        <v>7.4610000001092818</v>
      </c>
      <c r="Y534" s="300">
        <f>SUM(V534:X534)</f>
        <v>33.367000000087188</v>
      </c>
    </row>
    <row r="535" spans="1:25" x14ac:dyDescent="0.2">
      <c r="A535" s="260" t="s">
        <v>355</v>
      </c>
      <c r="B535" s="300">
        <v>6.4479999999883617</v>
      </c>
      <c r="C535" s="300">
        <v>7.1160000000540524</v>
      </c>
      <c r="D535" s="300">
        <v>8.0490000002264317</v>
      </c>
      <c r="E535" s="300">
        <f t="shared" ref="E535:E536" si="1407">SUM(B535:D535)</f>
        <v>21.613000000268848</v>
      </c>
      <c r="F535" s="300"/>
      <c r="G535" s="300">
        <v>9.5749999999885915</v>
      </c>
      <c r="H535" s="300">
        <v>9.7800000000712117</v>
      </c>
      <c r="I535" s="300">
        <v>8.3140000000311431</v>
      </c>
      <c r="J535" s="300">
        <f t="shared" ref="J535:J536" si="1408">SUM(G535:I535)</f>
        <v>27.669000000090946</v>
      </c>
      <c r="K535" s="300"/>
      <c r="L535" s="300">
        <v>9.3429999999861071</v>
      </c>
      <c r="M535" s="300">
        <v>8.0020000000668237</v>
      </c>
      <c r="N535" s="300">
        <v>6.893000000152921</v>
      </c>
      <c r="O535" s="300">
        <f t="shared" ref="O535:O536" si="1409">SUM(L535:N535)</f>
        <v>24.238000000205851</v>
      </c>
      <c r="P535" s="300"/>
      <c r="Q535" s="300">
        <v>11.001000000005208</v>
      </c>
      <c r="R535" s="300">
        <v>9.7310000000705248</v>
      </c>
      <c r="S535" s="300">
        <v>8.6580000005627991</v>
      </c>
      <c r="T535" s="300">
        <f t="shared" ref="T535:T536" si="1410">SUM(Q535:S535)</f>
        <v>29.39000000063853</v>
      </c>
      <c r="U535" s="300"/>
      <c r="V535" s="300">
        <v>12.820999999983897</v>
      </c>
      <c r="W535" s="300">
        <v>11.891000000139389</v>
      </c>
      <c r="X535" s="300">
        <v>11.335000000557379</v>
      </c>
      <c r="Y535" s="300">
        <f t="shared" ref="Y535:Y536" si="1411">SUM(V535:X535)</f>
        <v>36.047000000680669</v>
      </c>
    </row>
    <row r="536" spans="1:25" x14ac:dyDescent="0.2">
      <c r="A536" s="260" t="s">
        <v>354</v>
      </c>
      <c r="B536" s="300">
        <f>SUM(B534:B535)</f>
        <v>13.399000000010474</v>
      </c>
      <c r="C536" s="300">
        <f t="shared" ref="C536" si="1412">SUM(C534:C535)</f>
        <v>21.049000000011418</v>
      </c>
      <c r="D536" s="300">
        <f t="shared" ref="D536" si="1413">SUM(D534:D535)</f>
        <v>13.246000000398283</v>
      </c>
      <c r="E536" s="300">
        <f t="shared" si="1407"/>
        <v>47.694000000420175</v>
      </c>
      <c r="F536" s="300"/>
      <c r="G536" s="300">
        <f>SUM(G534:G535)</f>
        <v>16.446999999874791</v>
      </c>
      <c r="H536" s="300">
        <f t="shared" ref="H536" si="1414">SUM(H534:H535)</f>
        <v>24.607000000197957</v>
      </c>
      <c r="I536" s="300">
        <f t="shared" ref="I536" si="1415">SUM(I534:I535)</f>
        <v>14.263999999998962</v>
      </c>
      <c r="J536" s="300">
        <f t="shared" si="1408"/>
        <v>55.318000000071706</v>
      </c>
      <c r="K536" s="300"/>
      <c r="L536" s="300">
        <f>SUM(L534:L535)</f>
        <v>14.907999999924449</v>
      </c>
      <c r="M536" s="300">
        <f t="shared" ref="M536" si="1416">SUM(M534:M535)</f>
        <v>22.157000000139949</v>
      </c>
      <c r="N536" s="300">
        <f t="shared" ref="N536" si="1417">SUM(N534:N535)</f>
        <v>12.63699999994089</v>
      </c>
      <c r="O536" s="300">
        <f t="shared" si="1409"/>
        <v>49.702000000005292</v>
      </c>
      <c r="P536" s="300"/>
      <c r="Q536" s="300">
        <f>SUM(Q534:Q535)</f>
        <v>17.336999999976609</v>
      </c>
      <c r="R536" s="300">
        <f t="shared" ref="R536" si="1418">SUM(R534:R535)</f>
        <v>26.331000000255834</v>
      </c>
      <c r="S536" s="300">
        <f t="shared" ref="S536" si="1419">SUM(S534:S535)</f>
        <v>15.253000000347459</v>
      </c>
      <c r="T536" s="300">
        <f t="shared" si="1410"/>
        <v>58.921000000579895</v>
      </c>
      <c r="U536" s="300"/>
      <c r="V536" s="300">
        <f>SUM(V534:V535)</f>
        <v>19.749000000034535</v>
      </c>
      <c r="W536" s="300">
        <f t="shared" ref="W536" si="1420">SUM(W534:W535)</f>
        <v>30.869000000066659</v>
      </c>
      <c r="X536" s="300">
        <f t="shared" ref="X536" si="1421">SUM(X534:X535)</f>
        <v>18.796000000666659</v>
      </c>
      <c r="Y536" s="300">
        <f t="shared" si="1411"/>
        <v>69.414000000767857</v>
      </c>
    </row>
    <row r="537" spans="1:25" x14ac:dyDescent="0.2">
      <c r="A537" s="261"/>
    </row>
    <row r="538" spans="1:25" x14ac:dyDescent="0.2">
      <c r="A538" s="261" t="s">
        <v>358</v>
      </c>
    </row>
    <row r="539" spans="1:25" x14ac:dyDescent="0.2">
      <c r="A539" s="260" t="s">
        <v>356</v>
      </c>
      <c r="B539" s="300">
        <f>SUM(B519,B524,B529,B534)</f>
        <v>12.557000000050696</v>
      </c>
      <c r="C539" s="300">
        <f t="shared" ref="C539:D540" si="1422">SUM(C519,C524,C529,C534)</f>
        <v>20.046999999936684</v>
      </c>
      <c r="D539" s="300">
        <f t="shared" si="1422"/>
        <v>11.217000000377009</v>
      </c>
      <c r="E539" s="300">
        <f>SUM(B539:D539)</f>
        <v>43.821000000364393</v>
      </c>
      <c r="F539" s="300"/>
      <c r="G539" s="300">
        <f>SUM(G519,G524,G529,G534)</f>
        <v>11.212999999809501</v>
      </c>
      <c r="H539" s="300">
        <f t="shared" ref="H539:I539" si="1423">SUM(H519,H524,H529,H534)</f>
        <v>20.866000000176189</v>
      </c>
      <c r="I539" s="300">
        <f t="shared" si="1423"/>
        <v>13.049999999907484</v>
      </c>
      <c r="J539" s="300">
        <f>SUM(G539:I539)</f>
        <v>45.128999999893175</v>
      </c>
      <c r="K539" s="300"/>
      <c r="L539" s="300">
        <f>SUM(L519,L524,L529,L534)</f>
        <v>9.3889999998931568</v>
      </c>
      <c r="M539" s="300">
        <f t="shared" ref="M539:N539" si="1424">SUM(M519,M524,M529,M534)</f>
        <v>19.939000000100762</v>
      </c>
      <c r="N539" s="300">
        <f t="shared" si="1424"/>
        <v>14.06799999947089</v>
      </c>
      <c r="O539" s="300">
        <f>SUM(L539:N539)</f>
        <v>43.395999999464813</v>
      </c>
      <c r="P539" s="300"/>
      <c r="Q539" s="300">
        <f>SUM(Q519,Q524,Q529,Q534)</f>
        <v>10.630999999932975</v>
      </c>
      <c r="R539" s="300">
        <f t="shared" ref="R539:S539" si="1425">SUM(R519,R524,R529,R534)</f>
        <v>23.561000000259746</v>
      </c>
      <c r="S539" s="300">
        <f t="shared" si="1425"/>
        <v>16.0189999994397</v>
      </c>
      <c r="T539" s="300">
        <f>SUM(Q539:S539)</f>
        <v>50.210999999632421</v>
      </c>
      <c r="U539" s="300"/>
      <c r="V539" s="300">
        <f>SUM(V519,V524,V529,V534)</f>
        <v>11.380000000088691</v>
      </c>
      <c r="W539" s="300">
        <f t="shared" ref="W539:X539" si="1426">SUM(W519,W524,W529,W534)</f>
        <v>26.84799999989756</v>
      </c>
      <c r="X539" s="300">
        <f t="shared" si="1426"/>
        <v>18.514000000297187</v>
      </c>
      <c r="Y539" s="300">
        <f>SUM(V539:X539)</f>
        <v>56.74200000028344</v>
      </c>
    </row>
    <row r="540" spans="1:25" x14ac:dyDescent="0.2">
      <c r="A540" s="260" t="s">
        <v>355</v>
      </c>
      <c r="B540" s="300">
        <f>SUM(B520,B525,B530,B535)</f>
        <v>12.483999999975561</v>
      </c>
      <c r="C540" s="300">
        <f t="shared" si="1422"/>
        <v>9.2560000000701521</v>
      </c>
      <c r="D540" s="300">
        <f t="shared" si="1422"/>
        <v>18.750000000530989</v>
      </c>
      <c r="E540" s="300">
        <f t="shared" ref="E540:E541" si="1427">SUM(B540:D540)</f>
        <v>40.4900000005767</v>
      </c>
      <c r="F540" s="300"/>
      <c r="G540" s="300">
        <f>SUM(G520,G525,G530,G535)</f>
        <v>16.087999999979008</v>
      </c>
      <c r="H540" s="300">
        <f t="shared" ref="H540:I540" si="1428">SUM(H520,H525,H530,H535)</f>
        <v>12.587000000091528</v>
      </c>
      <c r="I540" s="300">
        <f t="shared" si="1428"/>
        <v>17.23200000006036</v>
      </c>
      <c r="J540" s="300">
        <f t="shared" ref="J540:J541" si="1429">SUM(G540:I540)</f>
        <v>45.907000000130893</v>
      </c>
      <c r="K540" s="300"/>
      <c r="L540" s="300">
        <f>SUM(L520,L525,L530,L535)</f>
        <v>15.020999999974466</v>
      </c>
      <c r="M540" s="300">
        <f t="shared" ref="M540:N540" si="1430">SUM(M520,M525,M530,M535)</f>
        <v>10.533000000087441</v>
      </c>
      <c r="N540" s="300">
        <f t="shared" si="1430"/>
        <v>13.310000000293504</v>
      </c>
      <c r="O540" s="300">
        <f t="shared" ref="O540:O541" si="1431">SUM(L540:N540)</f>
        <v>38.864000000355411</v>
      </c>
      <c r="P540" s="300"/>
      <c r="Q540" s="300">
        <f>SUM(Q520,Q525,Q530,Q535)</f>
        <v>17.599000000005837</v>
      </c>
      <c r="R540" s="300">
        <f t="shared" ref="R540:S540" si="1432">SUM(R520,R525,R530,R535)</f>
        <v>12.706000000091773</v>
      </c>
      <c r="S540" s="300">
        <f t="shared" si="1432"/>
        <v>15.720000001034212</v>
      </c>
      <c r="T540" s="300">
        <f t="shared" ref="T540:T541" si="1433">SUM(Q540:S540)</f>
        <v>46.025000001131822</v>
      </c>
      <c r="U540" s="300"/>
      <c r="V540" s="300">
        <f>SUM(V520,V525,V530,V535)</f>
        <v>20.23599999997132</v>
      </c>
      <c r="W540" s="300">
        <f t="shared" ref="W540:X540" si="1434">SUM(W520,W525,W530,W535)</f>
        <v>15.207000000177631</v>
      </c>
      <c r="X540" s="300">
        <f t="shared" si="1434"/>
        <v>18.71200000092696</v>
      </c>
      <c r="Y540" s="300">
        <f t="shared" ref="Y540:Y541" si="1435">SUM(V540:X540)</f>
        <v>54.155000001075905</v>
      </c>
    </row>
    <row r="541" spans="1:25" x14ac:dyDescent="0.2">
      <c r="A541" s="264" t="s">
        <v>354</v>
      </c>
      <c r="B541" s="301">
        <f>SUM(B539:B540)</f>
        <v>25.041000000026258</v>
      </c>
      <c r="C541" s="301">
        <f t="shared" ref="C541" si="1436">SUM(C539:C540)</f>
        <v>29.303000000006836</v>
      </c>
      <c r="D541" s="301">
        <f t="shared" ref="D541" si="1437">SUM(D539:D540)</f>
        <v>29.967000000907998</v>
      </c>
      <c r="E541" s="301">
        <f t="shared" si="1427"/>
        <v>84.311000000941092</v>
      </c>
      <c r="F541" s="301"/>
      <c r="G541" s="301">
        <f>SUM(G539:G540)</f>
        <v>27.300999999788509</v>
      </c>
      <c r="H541" s="301">
        <f t="shared" ref="H541" si="1438">SUM(H539:H540)</f>
        <v>33.453000000267721</v>
      </c>
      <c r="I541" s="301">
        <f t="shared" ref="I541" si="1439">SUM(I539:I540)</f>
        <v>30.281999999967844</v>
      </c>
      <c r="J541" s="301">
        <f t="shared" si="1429"/>
        <v>91.036000000024075</v>
      </c>
      <c r="K541" s="301"/>
      <c r="L541" s="301">
        <f>SUM(L539:L540)</f>
        <v>24.409999999867622</v>
      </c>
      <c r="M541" s="301">
        <f t="shared" ref="M541" si="1440">SUM(M539:M540)</f>
        <v>30.472000000188203</v>
      </c>
      <c r="N541" s="301">
        <f t="shared" ref="N541" si="1441">SUM(N539:N540)</f>
        <v>27.377999999764395</v>
      </c>
      <c r="O541" s="301">
        <f t="shared" si="1431"/>
        <v>82.259999999820224</v>
      </c>
      <c r="P541" s="301"/>
      <c r="Q541" s="301">
        <f>SUM(Q539:Q540)</f>
        <v>28.229999999938812</v>
      </c>
      <c r="R541" s="301">
        <f t="shared" ref="R541" si="1442">SUM(R539:R540)</f>
        <v>36.267000000351516</v>
      </c>
      <c r="S541" s="301">
        <f t="shared" ref="S541" si="1443">SUM(S539:S540)</f>
        <v>31.739000000473911</v>
      </c>
      <c r="T541" s="301">
        <f t="shared" si="1433"/>
        <v>96.236000000764236</v>
      </c>
      <c r="U541" s="301"/>
      <c r="V541" s="301">
        <f>SUM(V539:V540)</f>
        <v>31.616000000060012</v>
      </c>
      <c r="W541" s="301">
        <f t="shared" ref="W541" si="1444">SUM(W539:W540)</f>
        <v>42.055000000075189</v>
      </c>
      <c r="X541" s="301">
        <f t="shared" ref="X541" si="1445">SUM(X539:X540)</f>
        <v>37.226000001224151</v>
      </c>
      <c r="Y541" s="301">
        <f t="shared" si="1435"/>
        <v>110.89700000135934</v>
      </c>
    </row>
    <row r="545" spans="1:25" ht="15" x14ac:dyDescent="0.25">
      <c r="A545" s="265" t="str">
        <f>"Industry 22 : "&amp; name!B25</f>
        <v>Industry 22 : Other services</v>
      </c>
      <c r="B545" s="371">
        <f>$B$5</f>
        <v>2015</v>
      </c>
      <c r="C545" s="371"/>
      <c r="D545" s="371"/>
      <c r="E545" s="371"/>
      <c r="F545" s="320"/>
      <c r="G545" s="371">
        <f>$G$5</f>
        <v>2019</v>
      </c>
      <c r="H545" s="371"/>
      <c r="I545" s="371"/>
      <c r="J545" s="371"/>
      <c r="K545" s="320"/>
      <c r="L545" s="371">
        <f>$L$5</f>
        <v>2020</v>
      </c>
      <c r="M545" s="371"/>
      <c r="N545" s="371"/>
      <c r="O545" s="371"/>
      <c r="P545" s="318"/>
      <c r="Q545" s="371">
        <f>$Q$5</f>
        <v>2025</v>
      </c>
      <c r="R545" s="371"/>
      <c r="S545" s="371"/>
      <c r="T545" s="371"/>
      <c r="U545" s="320"/>
      <c r="V545" s="371">
        <f>$V$5</f>
        <v>2035</v>
      </c>
      <c r="W545" s="371"/>
      <c r="X545" s="371"/>
      <c r="Y545" s="371"/>
    </row>
    <row r="546" spans="1:25" x14ac:dyDescent="0.2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x14ac:dyDescent="0.2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x14ac:dyDescent="0.2">
      <c r="A548" s="261" t="str">
        <f>name!A76</f>
        <v>Membership organisations</v>
      </c>
      <c r="C548" s="263"/>
    </row>
    <row r="549" spans="1:25" x14ac:dyDescent="0.2">
      <c r="A549" s="260" t="s">
        <v>356</v>
      </c>
      <c r="B549" s="300">
        <v>6.8350000000597246</v>
      </c>
      <c r="C549" s="300">
        <v>11.902999999953881</v>
      </c>
      <c r="D549" s="300">
        <v>7.2330000001852337</v>
      </c>
      <c r="E549" s="300">
        <f>SUM(B549:D549)</f>
        <v>25.971000000198842</v>
      </c>
      <c r="F549" s="300"/>
      <c r="G549" s="300">
        <v>5.2939999998909535</v>
      </c>
      <c r="H549" s="300">
        <v>9.7950000000009929</v>
      </c>
      <c r="I549" s="300">
        <v>12.60999999982686</v>
      </c>
      <c r="J549" s="300">
        <f>SUM(G549:I549)</f>
        <v>27.698999999718808</v>
      </c>
      <c r="K549" s="300"/>
      <c r="L549" s="300">
        <v>6.5589999999114044</v>
      </c>
      <c r="M549" s="300">
        <v>8.7579999999867724</v>
      </c>
      <c r="N549" s="300">
        <v>8.170999999765959</v>
      </c>
      <c r="O549" s="300">
        <f>SUM(L549:N549)</f>
        <v>23.487999999664133</v>
      </c>
      <c r="P549" s="300"/>
      <c r="Q549" s="300">
        <v>6.5739999998956877</v>
      </c>
      <c r="R549" s="300">
        <v>8.9310000000050689</v>
      </c>
      <c r="S549" s="300">
        <v>8.4789999997350396</v>
      </c>
      <c r="T549" s="300">
        <f>SUM(Q549:S549)</f>
        <v>23.983999999635799</v>
      </c>
      <c r="U549" s="300"/>
      <c r="V549" s="300">
        <v>6.4540000000531359</v>
      </c>
      <c r="W549" s="300">
        <v>8.8919999999967274</v>
      </c>
      <c r="X549" s="300">
        <v>8.5840000001226642</v>
      </c>
      <c r="Y549" s="300">
        <f>SUM(V549:X549)</f>
        <v>23.930000000172527</v>
      </c>
    </row>
    <row r="550" spans="1:25" x14ac:dyDescent="0.2">
      <c r="A550" s="260" t="s">
        <v>355</v>
      </c>
      <c r="B550" s="300">
        <v>3.2969999999497568</v>
      </c>
      <c r="C550" s="300">
        <v>0.82799999999807039</v>
      </c>
      <c r="D550" s="300">
        <v>2.9900000000523614</v>
      </c>
      <c r="E550" s="300">
        <f t="shared" ref="E550:E551" si="1446">SUM(B550:D550)</f>
        <v>7.1150000000001885</v>
      </c>
      <c r="F550" s="300"/>
      <c r="G550" s="300">
        <v>4.0159999999444054</v>
      </c>
      <c r="H550" s="300">
        <v>1.1199999999967447</v>
      </c>
      <c r="I550" s="300">
        <v>2.8329999999863604</v>
      </c>
      <c r="J550" s="300">
        <f t="shared" ref="J550:J551" si="1447">SUM(G550:I550)</f>
        <v>7.9689999999275107</v>
      </c>
      <c r="K550" s="300"/>
      <c r="L550" s="300">
        <v>3.5939999999026124</v>
      </c>
      <c r="M550" s="300">
        <v>2.1040000000078689</v>
      </c>
      <c r="N550" s="300">
        <v>2.4810000000008774</v>
      </c>
      <c r="O550" s="300">
        <f t="shared" ref="O550:O551" si="1448">SUM(L550:N550)</f>
        <v>8.1789999999113583</v>
      </c>
      <c r="P550" s="300"/>
      <c r="Q550" s="300">
        <v>3.8399999999352494</v>
      </c>
      <c r="R550" s="300">
        <v>2.1690000000013332</v>
      </c>
      <c r="S550" s="300">
        <v>2.6570000001066996</v>
      </c>
      <c r="T550" s="300">
        <f t="shared" ref="T550:T551" si="1449">SUM(Q550:S550)</f>
        <v>8.6660000000432831</v>
      </c>
      <c r="U550" s="300"/>
      <c r="V550" s="300">
        <v>4.1379999999071186</v>
      </c>
      <c r="W550" s="300">
        <v>2.2380000000038227</v>
      </c>
      <c r="X550" s="300">
        <v>2.9150000000605552</v>
      </c>
      <c r="Y550" s="300">
        <f t="shared" ref="Y550:Y551" si="1450">SUM(V550:X550)</f>
        <v>9.2909999999714969</v>
      </c>
    </row>
    <row r="551" spans="1:25" x14ac:dyDescent="0.2">
      <c r="A551" s="260" t="s">
        <v>354</v>
      </c>
      <c r="B551" s="300">
        <f>SUM(B549:B550)</f>
        <v>10.132000000009482</v>
      </c>
      <c r="C551" s="300">
        <f t="shared" ref="C551" si="1451">SUM(C549:C550)</f>
        <v>12.730999999951951</v>
      </c>
      <c r="D551" s="300">
        <f t="shared" ref="D551" si="1452">SUM(D549:D550)</f>
        <v>10.223000000237596</v>
      </c>
      <c r="E551" s="300">
        <f t="shared" si="1446"/>
        <v>33.086000000199029</v>
      </c>
      <c r="F551" s="300"/>
      <c r="G551" s="300">
        <f>SUM(G549:G550)</f>
        <v>9.3099999998353589</v>
      </c>
      <c r="H551" s="300">
        <f t="shared" ref="H551" si="1453">SUM(H549:H550)</f>
        <v>10.914999999997738</v>
      </c>
      <c r="I551" s="300">
        <f t="shared" ref="I551" si="1454">SUM(I549:I550)</f>
        <v>15.442999999813221</v>
      </c>
      <c r="J551" s="300">
        <f t="shared" si="1447"/>
        <v>35.667999999646312</v>
      </c>
      <c r="K551" s="300"/>
      <c r="L551" s="300">
        <f>SUM(L549:L550)</f>
        <v>10.152999999814018</v>
      </c>
      <c r="M551" s="300">
        <f t="shared" ref="M551" si="1455">SUM(M549:M550)</f>
        <v>10.861999999994641</v>
      </c>
      <c r="N551" s="300">
        <f t="shared" ref="N551" si="1456">SUM(N549:N550)</f>
        <v>10.651999999766836</v>
      </c>
      <c r="O551" s="300">
        <f t="shared" si="1448"/>
        <v>31.666999999575495</v>
      </c>
      <c r="P551" s="300"/>
      <c r="Q551" s="300">
        <f>SUM(Q549:Q550)</f>
        <v>10.413999999830937</v>
      </c>
      <c r="R551" s="300">
        <f t="shared" ref="R551" si="1457">SUM(R549:R550)</f>
        <v>11.100000000006402</v>
      </c>
      <c r="S551" s="300">
        <f t="shared" ref="S551" si="1458">SUM(S549:S550)</f>
        <v>11.13599999984174</v>
      </c>
      <c r="T551" s="300">
        <f t="shared" si="1449"/>
        <v>32.649999999679082</v>
      </c>
      <c r="U551" s="300"/>
      <c r="V551" s="300">
        <f>SUM(V549:V550)</f>
        <v>10.591999999960255</v>
      </c>
      <c r="W551" s="300">
        <f t="shared" ref="W551" si="1459">SUM(W549:W550)</f>
        <v>11.13000000000055</v>
      </c>
      <c r="X551" s="300">
        <f t="shared" ref="X551" si="1460">SUM(X549:X550)</f>
        <v>11.499000000183219</v>
      </c>
      <c r="Y551" s="300">
        <f t="shared" si="1450"/>
        <v>33.221000000144024</v>
      </c>
    </row>
    <row r="552" spans="1:25" x14ac:dyDescent="0.2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x14ac:dyDescent="0.2">
      <c r="A553" s="261" t="str">
        <f>name!A77</f>
        <v>Repair of goods</v>
      </c>
      <c r="C553" s="263"/>
    </row>
    <row r="554" spans="1:25" x14ac:dyDescent="0.2">
      <c r="A554" s="260" t="s">
        <v>356</v>
      </c>
      <c r="B554" s="300">
        <v>0.44199999999500877</v>
      </c>
      <c r="C554" s="300">
        <v>0.17300000000450727</v>
      </c>
      <c r="D554" s="300">
        <v>0.76400000001620305</v>
      </c>
      <c r="E554" s="300">
        <f>SUM(B554:D554)</f>
        <v>1.379000000015719</v>
      </c>
      <c r="F554" s="300"/>
      <c r="G554" s="300">
        <v>0.36699999999516153</v>
      </c>
      <c r="H554" s="300">
        <v>0.787000000035463</v>
      </c>
      <c r="I554" s="300">
        <v>1.8740000000257528</v>
      </c>
      <c r="J554" s="300">
        <f>SUM(G554:I554)</f>
        <v>3.0280000000563776</v>
      </c>
      <c r="K554" s="300"/>
      <c r="L554" s="300">
        <v>0.45399999999552337</v>
      </c>
      <c r="M554" s="300">
        <v>0.70400000003321606</v>
      </c>
      <c r="N554" s="300">
        <v>1.214999999973069</v>
      </c>
      <c r="O554" s="300">
        <f>SUM(L554:N554)</f>
        <v>2.3730000000018086</v>
      </c>
      <c r="P554" s="300"/>
      <c r="Q554" s="300">
        <v>0.45500000001359525</v>
      </c>
      <c r="R554" s="300">
        <v>0.71800000005955933</v>
      </c>
      <c r="S554" s="300">
        <v>1.25999999999976</v>
      </c>
      <c r="T554" s="300">
        <f>SUM(Q554:S554)</f>
        <v>2.4330000000729148</v>
      </c>
      <c r="U554" s="300"/>
      <c r="V554" s="300">
        <v>0.44699999999972151</v>
      </c>
      <c r="W554" s="300">
        <v>0.71499999999234642</v>
      </c>
      <c r="X554" s="300">
        <v>1.2759999999948102</v>
      </c>
      <c r="Y554" s="300">
        <f>SUM(V554:X554)</f>
        <v>2.4379999999868782</v>
      </c>
    </row>
    <row r="555" spans="1:25" x14ac:dyDescent="0.2">
      <c r="A555" s="260" t="s">
        <v>355</v>
      </c>
      <c r="B555" s="300">
        <v>2.3539999999770846</v>
      </c>
      <c r="C555" s="300">
        <v>3.7000000000645121E-2</v>
      </c>
      <c r="D555" s="300">
        <v>0.98900000000892041</v>
      </c>
      <c r="E555" s="300">
        <f t="shared" ref="E555:E556" si="1461">SUM(B555:D555)</f>
        <v>3.3799999999866501</v>
      </c>
      <c r="F555" s="300"/>
      <c r="G555" s="300">
        <v>3.0719999999724954</v>
      </c>
      <c r="H555" s="300">
        <v>0.27800000000511366</v>
      </c>
      <c r="I555" s="300">
        <v>1.3190000000071909</v>
      </c>
      <c r="J555" s="300">
        <f t="shared" ref="J555:J556" si="1462">SUM(G555:I555)</f>
        <v>4.6689999999848002</v>
      </c>
      <c r="K555" s="300"/>
      <c r="L555" s="300">
        <v>2.7499999999530345</v>
      </c>
      <c r="M555" s="300">
        <v>0.52200000000489322</v>
      </c>
      <c r="N555" s="300">
        <v>2.7130000000101266</v>
      </c>
      <c r="O555" s="300">
        <f t="shared" ref="O555:O556" si="1463">SUM(L555:N555)</f>
        <v>5.9849999999680543</v>
      </c>
      <c r="P555" s="300"/>
      <c r="Q555" s="300">
        <v>2.9379999999694091</v>
      </c>
      <c r="R555" s="300">
        <v>0.53800000000669657</v>
      </c>
      <c r="S555" s="300">
        <v>2.9440000000367945</v>
      </c>
      <c r="T555" s="300">
        <f t="shared" ref="T555:T556" si="1464">SUM(Q555:S555)</f>
        <v>6.4200000000128998</v>
      </c>
      <c r="U555" s="300"/>
      <c r="V555" s="300">
        <v>3.1659999999477546</v>
      </c>
      <c r="W555" s="300">
        <v>0.55500000001159866</v>
      </c>
      <c r="X555" s="300">
        <v>3.142000000023458</v>
      </c>
      <c r="Y555" s="300">
        <f t="shared" ref="Y555:Y556" si="1465">SUM(V555:X555)</f>
        <v>6.8629999999828115</v>
      </c>
    </row>
    <row r="556" spans="1:25" x14ac:dyDescent="0.2">
      <c r="A556" s="260" t="s">
        <v>354</v>
      </c>
      <c r="B556" s="300">
        <f>SUM(B554:B555)</f>
        <v>2.7959999999720933</v>
      </c>
      <c r="C556" s="300">
        <f t="shared" ref="C556" si="1466">SUM(C554:C555)</f>
        <v>0.2100000000051524</v>
      </c>
      <c r="D556" s="300">
        <f t="shared" ref="D556" si="1467">SUM(D554:D555)</f>
        <v>1.7530000000251236</v>
      </c>
      <c r="E556" s="300">
        <f t="shared" si="1461"/>
        <v>4.7590000000023691</v>
      </c>
      <c r="F556" s="300"/>
      <c r="G556" s="300">
        <f>SUM(G554:G555)</f>
        <v>3.438999999967657</v>
      </c>
      <c r="H556" s="300">
        <f t="shared" ref="H556" si="1468">SUM(H554:H555)</f>
        <v>1.0650000000405766</v>
      </c>
      <c r="I556" s="300">
        <f t="shared" ref="I556" si="1469">SUM(I554:I555)</f>
        <v>3.1930000000329439</v>
      </c>
      <c r="J556" s="300">
        <f t="shared" si="1462"/>
        <v>7.6970000000411778</v>
      </c>
      <c r="K556" s="300"/>
      <c r="L556" s="300">
        <f>SUM(L554:L555)</f>
        <v>3.2039999999485578</v>
      </c>
      <c r="M556" s="300">
        <f t="shared" ref="M556" si="1470">SUM(M554:M555)</f>
        <v>1.2260000000381093</v>
      </c>
      <c r="N556" s="300">
        <f t="shared" ref="N556" si="1471">SUM(N554:N555)</f>
        <v>3.9279999999831956</v>
      </c>
      <c r="O556" s="300">
        <f t="shared" si="1463"/>
        <v>8.3579999999698629</v>
      </c>
      <c r="P556" s="300"/>
      <c r="Q556" s="300">
        <f>SUM(Q554:Q555)</f>
        <v>3.3929999999830045</v>
      </c>
      <c r="R556" s="300">
        <f t="shared" ref="R556" si="1472">SUM(R554:R555)</f>
        <v>1.2560000000662559</v>
      </c>
      <c r="S556" s="300">
        <f t="shared" ref="S556" si="1473">SUM(S554:S555)</f>
        <v>4.2040000000365545</v>
      </c>
      <c r="T556" s="300">
        <f t="shared" si="1464"/>
        <v>8.8530000000858138</v>
      </c>
      <c r="U556" s="300"/>
      <c r="V556" s="300">
        <f>SUM(V554:V555)</f>
        <v>3.6129999999474762</v>
      </c>
      <c r="W556" s="300">
        <f t="shared" ref="W556" si="1474">SUM(W554:W555)</f>
        <v>1.2700000000039451</v>
      </c>
      <c r="X556" s="300">
        <f t="shared" ref="X556" si="1475">SUM(X554:X555)</f>
        <v>4.4180000000182682</v>
      </c>
      <c r="Y556" s="300">
        <f t="shared" si="1465"/>
        <v>9.3009999999696902</v>
      </c>
    </row>
    <row r="557" spans="1:25" x14ac:dyDescent="0.2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x14ac:dyDescent="0.2">
      <c r="A558" s="261" t="str">
        <f>name!A78</f>
        <v>Other personal service</v>
      </c>
      <c r="C558" s="263"/>
    </row>
    <row r="559" spans="1:25" x14ac:dyDescent="0.2">
      <c r="A559" s="260" t="s">
        <v>356</v>
      </c>
      <c r="B559" s="300">
        <v>6.875999999886564</v>
      </c>
      <c r="C559" s="300">
        <v>7.169999999980619</v>
      </c>
      <c r="D559" s="300">
        <v>9.0330000001742405</v>
      </c>
      <c r="E559" s="300">
        <f>SUM(B559:D559)</f>
        <v>23.079000000041425</v>
      </c>
      <c r="F559" s="300"/>
      <c r="G559" s="300">
        <v>5.1360000000133867</v>
      </c>
      <c r="H559" s="300">
        <v>6.1780000001334301</v>
      </c>
      <c r="I559" s="300">
        <v>15.561000000459339</v>
      </c>
      <c r="J559" s="300">
        <f>SUM(G559:I559)</f>
        <v>26.875000000606157</v>
      </c>
      <c r="K559" s="300"/>
      <c r="L559" s="300">
        <v>6.3630000000112537</v>
      </c>
      <c r="M559" s="300">
        <v>5.524000000099595</v>
      </c>
      <c r="N559" s="300">
        <v>10.082999999789395</v>
      </c>
      <c r="O559" s="300">
        <f>SUM(L559:N559)</f>
        <v>21.969999999900246</v>
      </c>
      <c r="P559" s="300"/>
      <c r="Q559" s="300">
        <v>6.3770000002622975</v>
      </c>
      <c r="R559" s="300">
        <v>5.6330000001932774</v>
      </c>
      <c r="S559" s="300">
        <v>10.463000000091085</v>
      </c>
      <c r="T559" s="300">
        <f>SUM(Q559:S559)</f>
        <v>22.473000000546662</v>
      </c>
      <c r="U559" s="300"/>
      <c r="V559" s="300">
        <v>6.2609999999392816</v>
      </c>
      <c r="W559" s="300">
        <v>5.6079999999478947</v>
      </c>
      <c r="X559" s="300">
        <v>10.59299999991882</v>
      </c>
      <c r="Y559" s="300">
        <f>SUM(V559:X559)</f>
        <v>22.461999999805997</v>
      </c>
    </row>
    <row r="560" spans="1:25" x14ac:dyDescent="0.2">
      <c r="A560" s="260" t="s">
        <v>355</v>
      </c>
      <c r="B560" s="300">
        <v>7.2700000000109206</v>
      </c>
      <c r="C560" s="300">
        <v>1.3190000000067754</v>
      </c>
      <c r="D560" s="300">
        <v>3.6460000000872554</v>
      </c>
      <c r="E560" s="300">
        <f t="shared" ref="E560:E561" si="1476">SUM(B560:D560)</f>
        <v>12.235000000104952</v>
      </c>
      <c r="F560" s="300"/>
      <c r="G560" s="300">
        <v>8.5400000000148779</v>
      </c>
      <c r="H560" s="300">
        <v>1.8690000000089555</v>
      </c>
      <c r="I560" s="300">
        <v>3.4140000000349735</v>
      </c>
      <c r="J560" s="300">
        <f t="shared" ref="J560:J561" si="1477">SUM(G560:I560)</f>
        <v>13.823000000058808</v>
      </c>
      <c r="K560" s="300"/>
      <c r="L560" s="300">
        <v>7.6430000000291525</v>
      </c>
      <c r="M560" s="300">
        <v>3.5100000000260319</v>
      </c>
      <c r="N560" s="300">
        <v>4.4760000001165334</v>
      </c>
      <c r="O560" s="300">
        <f t="shared" ref="O560:O561" si="1478">SUM(L560:N560)</f>
        <v>15.629000000171718</v>
      </c>
      <c r="P560" s="300"/>
      <c r="Q560" s="300">
        <v>8.1660000000332538</v>
      </c>
      <c r="R560" s="300">
        <v>3.6190000000155678</v>
      </c>
      <c r="S560" s="300">
        <v>4.7190000001961359</v>
      </c>
      <c r="T560" s="300">
        <f t="shared" ref="T560:T561" si="1479">SUM(Q560:S560)</f>
        <v>16.504000000244957</v>
      </c>
      <c r="U560" s="300"/>
      <c r="V560" s="300">
        <v>8.8000000000634326</v>
      </c>
      <c r="W560" s="300">
        <v>3.7340000000190683</v>
      </c>
      <c r="X560" s="300">
        <v>5.0170000001805386</v>
      </c>
      <c r="Y560" s="300">
        <f t="shared" ref="Y560:Y561" si="1480">SUM(V560:X560)</f>
        <v>17.551000000263038</v>
      </c>
    </row>
    <row r="561" spans="1:25" x14ac:dyDescent="0.2">
      <c r="A561" s="260" t="s">
        <v>354</v>
      </c>
      <c r="B561" s="300">
        <f>SUM(B559:B560)</f>
        <v>14.145999999897484</v>
      </c>
      <c r="C561" s="300">
        <f t="shared" ref="C561" si="1481">SUM(C559:C560)</f>
        <v>8.488999999987394</v>
      </c>
      <c r="D561" s="300">
        <f t="shared" ref="D561" si="1482">SUM(D559:D560)</f>
        <v>12.679000000261496</v>
      </c>
      <c r="E561" s="300">
        <f t="shared" si="1476"/>
        <v>35.314000000146372</v>
      </c>
      <c r="F561" s="300"/>
      <c r="G561" s="300">
        <f>SUM(G559:G560)</f>
        <v>13.676000000028264</v>
      </c>
      <c r="H561" s="300">
        <f t="shared" ref="H561" si="1483">SUM(H559:H560)</f>
        <v>8.0470000001423863</v>
      </c>
      <c r="I561" s="300">
        <f t="shared" ref="I561" si="1484">SUM(I559:I560)</f>
        <v>18.975000000494312</v>
      </c>
      <c r="J561" s="300">
        <f t="shared" si="1477"/>
        <v>40.698000000664962</v>
      </c>
      <c r="K561" s="300"/>
      <c r="L561" s="300">
        <f>SUM(L559:L560)</f>
        <v>14.006000000040405</v>
      </c>
      <c r="M561" s="300">
        <f t="shared" ref="M561" si="1485">SUM(M559:M560)</f>
        <v>9.0340000001256264</v>
      </c>
      <c r="N561" s="300">
        <f t="shared" ref="N561" si="1486">SUM(N559:N560)</f>
        <v>14.558999999905929</v>
      </c>
      <c r="O561" s="300">
        <f t="shared" si="1478"/>
        <v>37.59900000007196</v>
      </c>
      <c r="P561" s="300"/>
      <c r="Q561" s="300">
        <f>SUM(Q559:Q560)</f>
        <v>14.543000000295551</v>
      </c>
      <c r="R561" s="300">
        <f t="shared" ref="R561" si="1487">SUM(R559:R560)</f>
        <v>9.2520000002088452</v>
      </c>
      <c r="S561" s="300">
        <f t="shared" ref="S561" si="1488">SUM(S559:S560)</f>
        <v>15.182000000287221</v>
      </c>
      <c r="T561" s="300">
        <f t="shared" si="1479"/>
        <v>38.97700000079162</v>
      </c>
      <c r="U561" s="300"/>
      <c r="V561" s="300">
        <f>SUM(V559:V560)</f>
        <v>15.061000000002714</v>
      </c>
      <c r="W561" s="300">
        <f t="shared" ref="W561" si="1489">SUM(W559:W560)</f>
        <v>9.3419999999669621</v>
      </c>
      <c r="X561" s="300">
        <f t="shared" ref="X561" si="1490">SUM(X559:X560)</f>
        <v>15.610000000099358</v>
      </c>
      <c r="Y561" s="300">
        <f t="shared" si="1480"/>
        <v>40.013000000069034</v>
      </c>
    </row>
    <row r="562" spans="1:25" x14ac:dyDescent="0.2">
      <c r="A562" s="261"/>
      <c r="C562" s="263"/>
    </row>
    <row r="563" spans="1:25" x14ac:dyDescent="0.2">
      <c r="A563" s="261" t="s">
        <v>357</v>
      </c>
      <c r="C563" s="263"/>
    </row>
    <row r="564" spans="1:25" x14ac:dyDescent="0.2">
      <c r="A564" s="260" t="s">
        <v>356</v>
      </c>
      <c r="B564" s="300">
        <f>SUM(B549,B554,B559)</f>
        <v>14.152999999941297</v>
      </c>
      <c r="C564" s="300">
        <f t="shared" ref="C564:D564" si="1491">SUM(C549,C554,C559)</f>
        <v>19.245999999939006</v>
      </c>
      <c r="D564" s="300">
        <f t="shared" si="1491"/>
        <v>17.030000000375679</v>
      </c>
      <c r="E564" s="300">
        <f>SUM(B564:D564)</f>
        <v>50.429000000255982</v>
      </c>
      <c r="F564" s="300"/>
      <c r="G564" s="300">
        <f>SUM(G549,G554,G559)</f>
        <v>10.796999999899501</v>
      </c>
      <c r="H564" s="300">
        <f t="shared" ref="H564:I564" si="1492">SUM(H549,H554,H559)</f>
        <v>16.760000000169885</v>
      </c>
      <c r="I564" s="300">
        <f t="shared" si="1492"/>
        <v>30.045000000311951</v>
      </c>
      <c r="J564" s="300">
        <f>SUM(G564:I564)</f>
        <v>57.602000000381338</v>
      </c>
      <c r="K564" s="300"/>
      <c r="L564" s="300">
        <f>SUM(L549,L554,L559)</f>
        <v>13.375999999918182</v>
      </c>
      <c r="M564" s="300">
        <f t="shared" ref="M564" si="1493">SUM(M549,M554,M559)</f>
        <v>14.986000000119585</v>
      </c>
      <c r="N564" s="300">
        <f>SUM(N549,N554,N559)</f>
        <v>19.468999999528421</v>
      </c>
      <c r="O564" s="300">
        <f>SUM(L564:N564)</f>
        <v>47.830999999566188</v>
      </c>
      <c r="P564" s="300"/>
      <c r="Q564" s="300">
        <f>SUM(Q549,Q554,Q559)</f>
        <v>13.406000000171581</v>
      </c>
      <c r="R564" s="300">
        <f t="shared" ref="R564:S564" si="1494">SUM(R549,R554,R559)</f>
        <v>15.282000000257906</v>
      </c>
      <c r="S564" s="300">
        <f t="shared" si="1494"/>
        <v>20.201999999825887</v>
      </c>
      <c r="T564" s="300">
        <f>SUM(Q564:S564)</f>
        <v>48.89000000025537</v>
      </c>
      <c r="U564" s="300"/>
      <c r="V564" s="300">
        <f>SUM(V549,V554,V559)</f>
        <v>13.161999999992139</v>
      </c>
      <c r="W564" s="300">
        <f t="shared" ref="W564:X564" si="1495">SUM(W549,W554,W559)</f>
        <v>15.214999999936969</v>
      </c>
      <c r="X564" s="300">
        <f t="shared" si="1495"/>
        <v>20.453000000036294</v>
      </c>
      <c r="Y564" s="300">
        <f>SUM(V564:X564)</f>
        <v>48.829999999965402</v>
      </c>
    </row>
    <row r="565" spans="1:25" x14ac:dyDescent="0.2">
      <c r="A565" s="260" t="s">
        <v>355</v>
      </c>
      <c r="B565" s="300">
        <f>SUM(B550,B555,B560)</f>
        <v>12.920999999937763</v>
      </c>
      <c r="C565" s="300">
        <f t="shared" ref="C565:D565" si="1496">SUM(C550,C555,C560)</f>
        <v>2.1840000000054909</v>
      </c>
      <c r="D565" s="300">
        <f t="shared" si="1496"/>
        <v>7.6250000001485372</v>
      </c>
      <c r="E565" s="300">
        <f t="shared" ref="E565:E566" si="1497">SUM(B565:D565)</f>
        <v>22.730000000091792</v>
      </c>
      <c r="F565" s="300"/>
      <c r="G565" s="300">
        <f>SUM(G550,G555,G560)</f>
        <v>15.627999999931779</v>
      </c>
      <c r="H565" s="300">
        <f t="shared" ref="H565:I565" si="1498">SUM(H550,H555,H560)</f>
        <v>3.2670000000108139</v>
      </c>
      <c r="I565" s="300">
        <f t="shared" si="1498"/>
        <v>7.5660000000285246</v>
      </c>
      <c r="J565" s="300">
        <f t="shared" ref="J565:J566" si="1499">SUM(G565:I565)</f>
        <v>26.460999999971115</v>
      </c>
      <c r="K565" s="300"/>
      <c r="L565" s="300">
        <f>SUM(L550,L555,L560)</f>
        <v>13.9869999998848</v>
      </c>
      <c r="M565" s="300">
        <f t="shared" ref="M565:N565" si="1500">SUM(M550,M555,M560)</f>
        <v>6.136000000038794</v>
      </c>
      <c r="N565" s="300">
        <f t="shared" si="1500"/>
        <v>9.670000000127537</v>
      </c>
      <c r="O565" s="300">
        <f t="shared" ref="O565:O566" si="1501">SUM(L565:N565)</f>
        <v>29.79300000005113</v>
      </c>
      <c r="P565" s="300"/>
      <c r="Q565" s="300">
        <f>SUM(Q550,Q555,Q560)</f>
        <v>14.943999999937912</v>
      </c>
      <c r="R565" s="300">
        <f t="shared" ref="R565:S565" si="1502">SUM(R550,R555,R560)</f>
        <v>6.3260000000235976</v>
      </c>
      <c r="S565" s="300">
        <f t="shared" si="1502"/>
        <v>10.320000000339629</v>
      </c>
      <c r="T565" s="300">
        <f t="shared" ref="T565:T566" si="1503">SUM(Q565:S565)</f>
        <v>31.590000000301139</v>
      </c>
      <c r="U565" s="300"/>
      <c r="V565" s="300">
        <f>SUM(V550,V555,V560)</f>
        <v>16.103999999918308</v>
      </c>
      <c r="W565" s="300">
        <f t="shared" ref="W565:X565" si="1504">SUM(W550,W555,W560)</f>
        <v>6.5270000000344899</v>
      </c>
      <c r="X565" s="300">
        <f t="shared" si="1504"/>
        <v>11.074000000264551</v>
      </c>
      <c r="Y565" s="300">
        <f t="shared" ref="Y565:Y566" si="1505">SUM(V565:X565)</f>
        <v>33.705000000217353</v>
      </c>
    </row>
    <row r="566" spans="1:25" x14ac:dyDescent="0.2">
      <c r="A566" s="264" t="s">
        <v>354</v>
      </c>
      <c r="B566" s="301">
        <f>SUM(B564:B565)</f>
        <v>27.07399999987906</v>
      </c>
      <c r="C566" s="301">
        <f t="shared" ref="C566" si="1506">SUM(C564:C565)</f>
        <v>21.429999999944496</v>
      </c>
      <c r="D566" s="301">
        <f t="shared" ref="D566" si="1507">SUM(D564:D565)</f>
        <v>24.655000000524218</v>
      </c>
      <c r="E566" s="301">
        <f t="shared" si="1497"/>
        <v>73.159000000347774</v>
      </c>
      <c r="F566" s="301"/>
      <c r="G566" s="301">
        <f>SUM(G564:G565)</f>
        <v>26.424999999831279</v>
      </c>
      <c r="H566" s="301">
        <f t="shared" ref="H566" si="1508">SUM(H564:H565)</f>
        <v>20.027000000180699</v>
      </c>
      <c r="I566" s="301">
        <f t="shared" ref="I566" si="1509">SUM(I564:I565)</f>
        <v>37.611000000340475</v>
      </c>
      <c r="J566" s="301">
        <f t="shared" si="1499"/>
        <v>84.063000000352446</v>
      </c>
      <c r="K566" s="301"/>
      <c r="L566" s="301">
        <f>SUM(L564:L565)</f>
        <v>27.36299999980298</v>
      </c>
      <c r="M566" s="301">
        <f t="shared" ref="M566" si="1510">SUM(M564:M565)</f>
        <v>21.12200000015838</v>
      </c>
      <c r="N566" s="301">
        <f t="shared" ref="N566" si="1511">SUM(N564:N565)</f>
        <v>29.138999999655958</v>
      </c>
      <c r="O566" s="301">
        <f t="shared" si="1501"/>
        <v>77.623999999617325</v>
      </c>
      <c r="P566" s="301"/>
      <c r="Q566" s="301">
        <f>SUM(Q564:Q565)</f>
        <v>28.350000000109493</v>
      </c>
      <c r="R566" s="301">
        <f t="shared" ref="R566" si="1512">SUM(R564:R565)</f>
        <v>21.608000000281503</v>
      </c>
      <c r="S566" s="301">
        <f t="shared" ref="S566" si="1513">SUM(S564:S565)</f>
        <v>30.522000000165516</v>
      </c>
      <c r="T566" s="301">
        <f t="shared" si="1503"/>
        <v>80.480000000556515</v>
      </c>
      <c r="U566" s="301"/>
      <c r="V566" s="301">
        <f>SUM(V564:V565)</f>
        <v>29.265999999910449</v>
      </c>
      <c r="W566" s="301">
        <f t="shared" ref="W566" si="1514">SUM(W564:W565)</f>
        <v>21.741999999971458</v>
      </c>
      <c r="X566" s="301">
        <f t="shared" ref="X566" si="1515">SUM(X564:X565)</f>
        <v>31.527000000300845</v>
      </c>
      <c r="Y566" s="301">
        <f t="shared" si="1505"/>
        <v>82.535000000182748</v>
      </c>
    </row>
    <row r="578" spans="1:3" x14ac:dyDescent="0.2">
      <c r="A578" s="261"/>
    </row>
    <row r="579" spans="1:3" x14ac:dyDescent="0.2">
      <c r="C579" s="263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7" spans="1:3" x14ac:dyDescent="0.2">
      <c r="C587" s="263"/>
    </row>
    <row r="588" spans="1:3" x14ac:dyDescent="0.2">
      <c r="A588" s="262"/>
    </row>
    <row r="589" spans="1:3" x14ac:dyDescent="0.2">
      <c r="A589" s="261"/>
    </row>
    <row r="592" spans="1:3" x14ac:dyDescent="0.2">
      <c r="C592" s="263"/>
    </row>
    <row r="593" spans="1:3" x14ac:dyDescent="0.2">
      <c r="A593" s="261"/>
    </row>
    <row r="594" spans="1:3" x14ac:dyDescent="0.2">
      <c r="C594" s="263"/>
    </row>
    <row r="595" spans="1:3" x14ac:dyDescent="0.2">
      <c r="C595" s="263"/>
    </row>
    <row r="596" spans="1:3" x14ac:dyDescent="0.2">
      <c r="C596" s="263"/>
    </row>
    <row r="598" spans="1:3" x14ac:dyDescent="0.2">
      <c r="A598" s="261"/>
    </row>
    <row r="599" spans="1:3" x14ac:dyDescent="0.2">
      <c r="C599" s="263"/>
    </row>
    <row r="600" spans="1:3" x14ac:dyDescent="0.2">
      <c r="C600" s="263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C605" s="263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A610" s="261"/>
    </row>
    <row r="611" spans="1:3" x14ac:dyDescent="0.2">
      <c r="C611" s="263"/>
    </row>
    <row r="612" spans="1:3" x14ac:dyDescent="0.2">
      <c r="C612" s="263"/>
    </row>
    <row r="613" spans="1:3" x14ac:dyDescent="0.2">
      <c r="C613" s="263"/>
    </row>
    <row r="638" spans="1:3" x14ac:dyDescent="0.2">
      <c r="A638" s="261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3" spans="1:3" x14ac:dyDescent="0.2">
      <c r="A643" s="261"/>
    </row>
    <row r="644" spans="1:3" x14ac:dyDescent="0.2">
      <c r="C644" s="263"/>
    </row>
    <row r="645" spans="1:3" x14ac:dyDescent="0.2">
      <c r="C645" s="263"/>
    </row>
    <row r="646" spans="1:3" x14ac:dyDescent="0.2">
      <c r="C646" s="263"/>
    </row>
    <row r="647" spans="1:3" x14ac:dyDescent="0.2">
      <c r="C647" s="263"/>
    </row>
    <row r="648" spans="1:3" x14ac:dyDescent="0.2">
      <c r="A648" s="261"/>
    </row>
    <row r="649" spans="1:3" x14ac:dyDescent="0.2">
      <c r="C649" s="263"/>
    </row>
    <row r="650" spans="1:3" x14ac:dyDescent="0.2">
      <c r="C650" s="263"/>
    </row>
    <row r="651" spans="1:3" x14ac:dyDescent="0.2">
      <c r="C651" s="263"/>
    </row>
    <row r="652" spans="1:3" x14ac:dyDescent="0.2">
      <c r="A652" s="262"/>
    </row>
    <row r="653" spans="1:3" x14ac:dyDescent="0.2">
      <c r="A653" s="261"/>
    </row>
    <row r="654" spans="1:3" x14ac:dyDescent="0.2">
      <c r="C654" s="263"/>
    </row>
    <row r="655" spans="1:3" x14ac:dyDescent="0.2">
      <c r="C655" s="263"/>
    </row>
    <row r="656" spans="1:3" x14ac:dyDescent="0.2">
      <c r="C656" s="263"/>
    </row>
    <row r="658" spans="1:3" x14ac:dyDescent="0.2">
      <c r="A658" s="261"/>
    </row>
    <row r="659" spans="1:3" x14ac:dyDescent="0.2">
      <c r="C659" s="263"/>
    </row>
    <row r="660" spans="1:3" x14ac:dyDescent="0.2">
      <c r="C660" s="263"/>
    </row>
    <row r="661" spans="1:3" x14ac:dyDescent="0.2">
      <c r="C661" s="263"/>
    </row>
    <row r="662" spans="1:3" x14ac:dyDescent="0.2">
      <c r="C662" s="263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A666" s="261"/>
    </row>
    <row r="667" spans="1:3" x14ac:dyDescent="0.2">
      <c r="C667" s="263"/>
    </row>
    <row r="668" spans="1:3" x14ac:dyDescent="0.2">
      <c r="C668" s="263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  <c r="C673" s="263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A687" s="262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C691" s="263"/>
    </row>
    <row r="693" spans="1:3" x14ac:dyDescent="0.2">
      <c r="A693" s="261"/>
    </row>
    <row r="694" spans="1:3" x14ac:dyDescent="0.2">
      <c r="A694" s="261"/>
    </row>
    <row r="695" spans="1:3" x14ac:dyDescent="0.2">
      <c r="C695" s="263"/>
    </row>
    <row r="696" spans="1:3" x14ac:dyDescent="0.2">
      <c r="C696" s="263"/>
    </row>
    <row r="697" spans="1:3" x14ac:dyDescent="0.2">
      <c r="C697" s="263"/>
    </row>
    <row r="699" spans="1:3" x14ac:dyDescent="0.2">
      <c r="A699" s="261"/>
    </row>
    <row r="700" spans="1:3" x14ac:dyDescent="0.2">
      <c r="C700" s="263"/>
    </row>
    <row r="701" spans="1:3" x14ac:dyDescent="0.2">
      <c r="C701" s="263"/>
    </row>
    <row r="702" spans="1:3" x14ac:dyDescent="0.2">
      <c r="C702" s="263"/>
    </row>
    <row r="703" spans="1:3" x14ac:dyDescent="0.2">
      <c r="C703" s="263"/>
    </row>
    <row r="704" spans="1:3" x14ac:dyDescent="0.2">
      <c r="A704" s="261"/>
    </row>
    <row r="705" spans="1:3" x14ac:dyDescent="0.2">
      <c r="C705" s="263"/>
    </row>
    <row r="706" spans="1:3" x14ac:dyDescent="0.2">
      <c r="C706" s="263"/>
    </row>
    <row r="707" spans="1:3" x14ac:dyDescent="0.2">
      <c r="C707" s="263"/>
    </row>
    <row r="708" spans="1:3" x14ac:dyDescent="0.2">
      <c r="A708" s="262"/>
    </row>
    <row r="709" spans="1:3" x14ac:dyDescent="0.2">
      <c r="A709" s="261"/>
    </row>
    <row r="710" spans="1:3" x14ac:dyDescent="0.2">
      <c r="C710" s="263"/>
    </row>
    <row r="711" spans="1:3" x14ac:dyDescent="0.2">
      <c r="C711" s="263"/>
    </row>
    <row r="712" spans="1:3" x14ac:dyDescent="0.2">
      <c r="C712" s="263"/>
    </row>
    <row r="714" spans="1:3" x14ac:dyDescent="0.2">
      <c r="A714" s="261"/>
    </row>
    <row r="715" spans="1:3" x14ac:dyDescent="0.2">
      <c r="C715" s="263"/>
    </row>
    <row r="716" spans="1:3" x14ac:dyDescent="0.2">
      <c r="C716" s="263"/>
    </row>
    <row r="717" spans="1:3" x14ac:dyDescent="0.2">
      <c r="C717" s="263"/>
    </row>
    <row r="718" spans="1:3" x14ac:dyDescent="0.2">
      <c r="C718" s="263"/>
    </row>
    <row r="719" spans="1:3" x14ac:dyDescent="0.2">
      <c r="A719" s="261"/>
    </row>
    <row r="720" spans="1:3" x14ac:dyDescent="0.2">
      <c r="C720" s="263"/>
    </row>
    <row r="721" spans="1:3" x14ac:dyDescent="0.2">
      <c r="C721" s="263"/>
    </row>
    <row r="722" spans="1:3" x14ac:dyDescent="0.2">
      <c r="A722" s="261"/>
    </row>
    <row r="723" spans="1:3" x14ac:dyDescent="0.2">
      <c r="C723" s="263"/>
    </row>
    <row r="724" spans="1:3" x14ac:dyDescent="0.2">
      <c r="C724" s="263"/>
    </row>
    <row r="725" spans="1:3" x14ac:dyDescent="0.2">
      <c r="C725" s="263"/>
    </row>
    <row r="726" spans="1:3" x14ac:dyDescent="0.2">
      <c r="C726" s="263"/>
    </row>
    <row r="728" spans="1:3" x14ac:dyDescent="0.2">
      <c r="A728" s="261"/>
    </row>
    <row r="729" spans="1:3" x14ac:dyDescent="0.2">
      <c r="C729" s="263"/>
    </row>
    <row r="730" spans="1:3" x14ac:dyDescent="0.2">
      <c r="C730" s="263"/>
    </row>
    <row r="731" spans="1:3" x14ac:dyDescent="0.2">
      <c r="C731" s="263"/>
    </row>
    <row r="732" spans="1:3" x14ac:dyDescent="0.2">
      <c r="A732" s="262"/>
    </row>
    <row r="733" spans="1:3" x14ac:dyDescent="0.2">
      <c r="A733" s="261"/>
    </row>
    <row r="734" spans="1:3" x14ac:dyDescent="0.2">
      <c r="C734" s="263"/>
    </row>
    <row r="735" spans="1:3" x14ac:dyDescent="0.2">
      <c r="C735" s="263"/>
    </row>
    <row r="736" spans="1:3" x14ac:dyDescent="0.2">
      <c r="C736" s="263"/>
    </row>
    <row r="738" spans="1:3" x14ac:dyDescent="0.2">
      <c r="A738" s="261"/>
    </row>
    <row r="739" spans="1:3" x14ac:dyDescent="0.2">
      <c r="C739" s="263"/>
    </row>
    <row r="740" spans="1:3" x14ac:dyDescent="0.2">
      <c r="C740" s="263"/>
    </row>
    <row r="741" spans="1:3" x14ac:dyDescent="0.2">
      <c r="C741" s="263"/>
    </row>
    <row r="743" spans="1:3" x14ac:dyDescent="0.2">
      <c r="A743" s="261"/>
    </row>
    <row r="744" spans="1:3" x14ac:dyDescent="0.2">
      <c r="C744" s="263"/>
    </row>
    <row r="745" spans="1:3" x14ac:dyDescent="0.2">
      <c r="C745" s="263"/>
    </row>
    <row r="746" spans="1:3" x14ac:dyDescent="0.2">
      <c r="C746" s="263"/>
    </row>
    <row r="747" spans="1:3" x14ac:dyDescent="0.2">
      <c r="C747" s="263"/>
    </row>
    <row r="748" spans="1:3" x14ac:dyDescent="0.2">
      <c r="A748" s="261"/>
    </row>
    <row r="749" spans="1:3" x14ac:dyDescent="0.2">
      <c r="C749" s="263"/>
    </row>
    <row r="750" spans="1:3" x14ac:dyDescent="0.2">
      <c r="A750" s="261"/>
    </row>
    <row r="751" spans="1:3" x14ac:dyDescent="0.2">
      <c r="C751" s="263"/>
    </row>
    <row r="752" spans="1:3" x14ac:dyDescent="0.2">
      <c r="C752" s="263"/>
    </row>
    <row r="753" spans="1:3" x14ac:dyDescent="0.2">
      <c r="C753" s="263"/>
    </row>
    <row r="755" spans="1:3" x14ac:dyDescent="0.2">
      <c r="A755" s="261"/>
    </row>
    <row r="756" spans="1:3" x14ac:dyDescent="0.2">
      <c r="C756" s="263"/>
    </row>
    <row r="757" spans="1:3" x14ac:dyDescent="0.2">
      <c r="C757" s="263"/>
    </row>
    <row r="758" spans="1:3" x14ac:dyDescent="0.2">
      <c r="C758" s="263"/>
    </row>
    <row r="759" spans="1:3" x14ac:dyDescent="0.2">
      <c r="C759" s="263"/>
    </row>
    <row r="760" spans="1:3" x14ac:dyDescent="0.2">
      <c r="A760" s="261"/>
    </row>
    <row r="761" spans="1:3" x14ac:dyDescent="0.2">
      <c r="C761" s="263"/>
    </row>
    <row r="762" spans="1:3" x14ac:dyDescent="0.2">
      <c r="C762" s="263"/>
    </row>
    <row r="763" spans="1:3" x14ac:dyDescent="0.2">
      <c r="C763" s="263"/>
    </row>
    <row r="764" spans="1:3" x14ac:dyDescent="0.2">
      <c r="A764" s="262"/>
    </row>
    <row r="765" spans="1:3" x14ac:dyDescent="0.2">
      <c r="A765" s="261"/>
    </row>
    <row r="766" spans="1:3" x14ac:dyDescent="0.2">
      <c r="C766" s="263"/>
    </row>
    <row r="767" spans="1:3" x14ac:dyDescent="0.2">
      <c r="C767" s="263"/>
    </row>
    <row r="768" spans="1:3" x14ac:dyDescent="0.2">
      <c r="C768" s="263"/>
    </row>
    <row r="770" spans="1:3" x14ac:dyDescent="0.2">
      <c r="A770" s="261"/>
    </row>
    <row r="771" spans="1:3" x14ac:dyDescent="0.2">
      <c r="C771" s="263"/>
    </row>
    <row r="772" spans="1:3" x14ac:dyDescent="0.2">
      <c r="C772" s="263"/>
    </row>
    <row r="773" spans="1:3" x14ac:dyDescent="0.2">
      <c r="C773" s="263"/>
    </row>
    <row r="774" spans="1:3" x14ac:dyDescent="0.2">
      <c r="C774" s="263"/>
    </row>
    <row r="775" spans="1:3" x14ac:dyDescent="0.2">
      <c r="A775" s="261"/>
    </row>
    <row r="776" spans="1:3" x14ac:dyDescent="0.2">
      <c r="C776" s="263"/>
    </row>
    <row r="777" spans="1:3" x14ac:dyDescent="0.2">
      <c r="C777" s="263"/>
    </row>
    <row r="778" spans="1:3" x14ac:dyDescent="0.2">
      <c r="A778" s="261"/>
    </row>
    <row r="779" spans="1:3" x14ac:dyDescent="0.2">
      <c r="C779" s="263"/>
    </row>
    <row r="780" spans="1:3" x14ac:dyDescent="0.2">
      <c r="C780" s="263"/>
    </row>
    <row r="781" spans="1:3" x14ac:dyDescent="0.2">
      <c r="C781" s="263"/>
    </row>
    <row r="782" spans="1:3" x14ac:dyDescent="0.2">
      <c r="C782" s="263"/>
    </row>
    <row r="783" spans="1:3" x14ac:dyDescent="0.2">
      <c r="C783" s="263"/>
    </row>
    <row r="784" spans="1:3" x14ac:dyDescent="0.2">
      <c r="C784" s="263"/>
    </row>
    <row r="785" spans="1:3" x14ac:dyDescent="0.2">
      <c r="A785" s="261"/>
      <c r="C785" s="263"/>
    </row>
    <row r="786" spans="1:3" x14ac:dyDescent="0.2">
      <c r="C786" s="263"/>
    </row>
    <row r="787" spans="1:3" x14ac:dyDescent="0.2">
      <c r="C787" s="263"/>
    </row>
    <row r="788" spans="1:3" x14ac:dyDescent="0.2">
      <c r="C788" s="263"/>
    </row>
    <row r="789" spans="1:3" x14ac:dyDescent="0.2">
      <c r="A789" s="262"/>
    </row>
    <row r="790" spans="1:3" x14ac:dyDescent="0.2">
      <c r="A790" s="261"/>
    </row>
    <row r="791" spans="1:3" x14ac:dyDescent="0.2">
      <c r="C791" s="263"/>
    </row>
    <row r="792" spans="1:3" x14ac:dyDescent="0.2">
      <c r="C792" s="263"/>
    </row>
    <row r="793" spans="1:3" x14ac:dyDescent="0.2">
      <c r="C793" s="263"/>
    </row>
    <row r="795" spans="1:3" x14ac:dyDescent="0.2">
      <c r="A795" s="261"/>
    </row>
    <row r="796" spans="1:3" x14ac:dyDescent="0.2">
      <c r="C796" s="263"/>
    </row>
    <row r="797" spans="1:3" x14ac:dyDescent="0.2">
      <c r="C797" s="263"/>
    </row>
    <row r="798" spans="1:3" x14ac:dyDescent="0.2">
      <c r="C798" s="263"/>
    </row>
    <row r="799" spans="1:3" x14ac:dyDescent="0.2">
      <c r="A799" s="262"/>
    </row>
    <row r="800" spans="1:3" x14ac:dyDescent="0.2">
      <c r="A800" s="261"/>
    </row>
    <row r="801" spans="1:3" x14ac:dyDescent="0.2">
      <c r="C801" s="263"/>
    </row>
    <row r="802" spans="1:3" x14ac:dyDescent="0.2">
      <c r="C802" s="263"/>
    </row>
    <row r="803" spans="1:3" x14ac:dyDescent="0.2">
      <c r="C803" s="263"/>
    </row>
    <row r="805" spans="1:3" x14ac:dyDescent="0.2">
      <c r="A805" s="261"/>
    </row>
    <row r="806" spans="1:3" x14ac:dyDescent="0.2">
      <c r="A806" s="261"/>
    </row>
    <row r="807" spans="1:3" x14ac:dyDescent="0.2">
      <c r="C807" s="263"/>
    </row>
    <row r="808" spans="1:3" x14ac:dyDescent="0.2">
      <c r="C808" s="263"/>
    </row>
    <row r="809" spans="1:3" x14ac:dyDescent="0.2">
      <c r="C809" s="263"/>
    </row>
    <row r="811" spans="1:3" x14ac:dyDescent="0.2">
      <c r="A811" s="261"/>
    </row>
    <row r="812" spans="1:3" x14ac:dyDescent="0.2">
      <c r="C812" s="263"/>
    </row>
    <row r="813" spans="1:3" x14ac:dyDescent="0.2">
      <c r="C813" s="263"/>
    </row>
    <row r="814" spans="1:3" x14ac:dyDescent="0.2">
      <c r="C814" s="263"/>
    </row>
    <row r="815" spans="1:3" x14ac:dyDescent="0.2">
      <c r="C815" s="263"/>
    </row>
    <row r="816" spans="1:3" x14ac:dyDescent="0.2">
      <c r="A816" s="261"/>
    </row>
    <row r="817" spans="1:3" x14ac:dyDescent="0.2">
      <c r="C817" s="263"/>
    </row>
    <row r="818" spans="1:3" x14ac:dyDescent="0.2">
      <c r="C818" s="263"/>
    </row>
    <row r="819" spans="1:3" x14ac:dyDescent="0.2">
      <c r="C819" s="263"/>
    </row>
    <row r="820" spans="1:3" x14ac:dyDescent="0.2">
      <c r="A820" s="262"/>
    </row>
    <row r="821" spans="1:3" x14ac:dyDescent="0.2">
      <c r="A821" s="261"/>
    </row>
    <row r="822" spans="1:3" x14ac:dyDescent="0.2">
      <c r="C822" s="263"/>
    </row>
    <row r="823" spans="1:3" x14ac:dyDescent="0.2">
      <c r="C823" s="263"/>
    </row>
    <row r="824" spans="1:3" x14ac:dyDescent="0.2">
      <c r="C824" s="263"/>
    </row>
    <row r="826" spans="1:3" x14ac:dyDescent="0.2">
      <c r="A826" s="261"/>
    </row>
    <row r="827" spans="1:3" x14ac:dyDescent="0.2">
      <c r="C827" s="263"/>
    </row>
    <row r="828" spans="1:3" x14ac:dyDescent="0.2">
      <c r="C828" s="263"/>
    </row>
    <row r="829" spans="1:3" x14ac:dyDescent="0.2">
      <c r="C829" s="263"/>
    </row>
    <row r="830" spans="1:3" x14ac:dyDescent="0.2">
      <c r="C830" s="263"/>
    </row>
    <row r="831" spans="1:3" x14ac:dyDescent="0.2">
      <c r="A831" s="261"/>
    </row>
    <row r="832" spans="1:3" x14ac:dyDescent="0.2">
      <c r="C832" s="263"/>
    </row>
    <row r="833" spans="1:25" x14ac:dyDescent="0.2">
      <c r="C833" s="263"/>
    </row>
    <row r="834" spans="1:25" x14ac:dyDescent="0.2">
      <c r="A834" s="261"/>
    </row>
    <row r="835" spans="1:25" x14ac:dyDescent="0.2">
      <c r="C835" s="263"/>
    </row>
    <row r="836" spans="1:25" x14ac:dyDescent="0.2">
      <c r="C836" s="263"/>
    </row>
    <row r="837" spans="1:25" x14ac:dyDescent="0.2">
      <c r="C837" s="263"/>
    </row>
    <row r="838" spans="1:25" x14ac:dyDescent="0.2">
      <c r="A838" s="261"/>
    </row>
    <row r="839" spans="1:25" x14ac:dyDescent="0.2">
      <c r="C839" s="263"/>
    </row>
    <row r="840" spans="1:25" x14ac:dyDescent="0.2">
      <c r="C840" s="263"/>
    </row>
    <row r="841" spans="1:25" x14ac:dyDescent="0.2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2">
      <c r="A842" s="262"/>
    </row>
    <row r="843" spans="1:25" x14ac:dyDescent="0.2">
      <c r="A843" s="261"/>
    </row>
    <row r="844" spans="1:25" x14ac:dyDescent="0.2">
      <c r="C844" s="263"/>
    </row>
    <row r="845" spans="1:25" x14ac:dyDescent="0.2">
      <c r="C845" s="263"/>
    </row>
    <row r="846" spans="1:25" x14ac:dyDescent="0.2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2">
      <c r="A847" s="262"/>
    </row>
    <row r="848" spans="1:25" x14ac:dyDescent="0.2">
      <c r="A848" s="261"/>
    </row>
    <row r="849" spans="1:3" x14ac:dyDescent="0.2">
      <c r="C849" s="263"/>
    </row>
    <row r="850" spans="1:3" x14ac:dyDescent="0.2">
      <c r="C850" s="263"/>
    </row>
    <row r="851" spans="1:3" x14ac:dyDescent="0.2">
      <c r="C851" s="263"/>
    </row>
    <row r="853" spans="1:3" x14ac:dyDescent="0.2">
      <c r="A853" s="261"/>
    </row>
    <row r="854" spans="1:3" x14ac:dyDescent="0.2">
      <c r="C854" s="263"/>
    </row>
    <row r="855" spans="1:3" x14ac:dyDescent="0.2">
      <c r="C855" s="263"/>
    </row>
    <row r="856" spans="1:3" x14ac:dyDescent="0.2">
      <c r="C856" s="263"/>
    </row>
    <row r="857" spans="1:3" x14ac:dyDescent="0.2">
      <c r="C857" s="263"/>
    </row>
    <row r="858" spans="1:3" x14ac:dyDescent="0.2">
      <c r="A858" s="261"/>
    </row>
    <row r="859" spans="1:3" x14ac:dyDescent="0.2">
      <c r="C859" s="263"/>
    </row>
    <row r="860" spans="1:3" x14ac:dyDescent="0.2">
      <c r="C860" s="263"/>
    </row>
    <row r="861" spans="1:3" x14ac:dyDescent="0.2">
      <c r="C861" s="263"/>
    </row>
    <row r="862" spans="1:3" x14ac:dyDescent="0.2">
      <c r="A862" s="261"/>
    </row>
    <row r="863" spans="1:3" x14ac:dyDescent="0.2">
      <c r="C863" s="263"/>
    </row>
    <row r="864" spans="1:3" x14ac:dyDescent="0.2">
      <c r="C864" s="263"/>
    </row>
    <row r="865" spans="1:3" x14ac:dyDescent="0.2">
      <c r="C865" s="263"/>
    </row>
    <row r="867" spans="1:3" x14ac:dyDescent="0.2">
      <c r="A867" s="261"/>
    </row>
    <row r="868" spans="1:3" x14ac:dyDescent="0.2">
      <c r="C868" s="263"/>
    </row>
    <row r="869" spans="1:3" x14ac:dyDescent="0.2">
      <c r="C869" s="263"/>
    </row>
    <row r="870" spans="1:3" x14ac:dyDescent="0.2">
      <c r="C870" s="263"/>
    </row>
    <row r="871" spans="1:3" x14ac:dyDescent="0.2">
      <c r="C871" s="263"/>
    </row>
    <row r="872" spans="1:3" x14ac:dyDescent="0.2">
      <c r="A872" s="261"/>
    </row>
    <row r="873" spans="1:3" x14ac:dyDescent="0.2">
      <c r="C873" s="263"/>
    </row>
    <row r="874" spans="1:3" x14ac:dyDescent="0.2">
      <c r="C874" s="263"/>
    </row>
    <row r="875" spans="1:3" x14ac:dyDescent="0.2">
      <c r="C875" s="263"/>
    </row>
    <row r="876" spans="1:3" x14ac:dyDescent="0.2">
      <c r="A876" s="262"/>
    </row>
    <row r="877" spans="1:3" x14ac:dyDescent="0.2">
      <c r="A877" s="261"/>
    </row>
    <row r="878" spans="1:3" x14ac:dyDescent="0.2">
      <c r="C878" s="263"/>
    </row>
    <row r="879" spans="1:3" x14ac:dyDescent="0.2">
      <c r="C879" s="263"/>
    </row>
    <row r="880" spans="1:3" x14ac:dyDescent="0.2">
      <c r="C880" s="263"/>
    </row>
    <row r="882" spans="1:3" x14ac:dyDescent="0.2">
      <c r="A882" s="261"/>
    </row>
    <row r="883" spans="1:3" x14ac:dyDescent="0.2">
      <c r="C883" s="263"/>
    </row>
    <row r="884" spans="1:3" x14ac:dyDescent="0.2">
      <c r="C884" s="263"/>
    </row>
    <row r="885" spans="1:3" x14ac:dyDescent="0.2">
      <c r="C885" s="263"/>
    </row>
    <row r="886" spans="1:3" x14ac:dyDescent="0.2">
      <c r="C886" s="263"/>
    </row>
    <row r="887" spans="1:3" x14ac:dyDescent="0.2">
      <c r="A887" s="261"/>
    </row>
    <row r="888" spans="1:3" x14ac:dyDescent="0.2">
      <c r="C888" s="263"/>
    </row>
    <row r="889" spans="1:3" x14ac:dyDescent="0.2">
      <c r="C889" s="263"/>
    </row>
    <row r="890" spans="1:3" x14ac:dyDescent="0.2">
      <c r="A890" s="261"/>
    </row>
    <row r="891" spans="1:3" x14ac:dyDescent="0.2">
      <c r="C891" s="263"/>
    </row>
    <row r="892" spans="1:3" x14ac:dyDescent="0.2">
      <c r="C892" s="263"/>
    </row>
    <row r="893" spans="1:3" x14ac:dyDescent="0.2">
      <c r="C893" s="263"/>
    </row>
    <row r="894" spans="1:3" x14ac:dyDescent="0.2">
      <c r="C894" s="263"/>
    </row>
    <row r="895" spans="1:3" x14ac:dyDescent="0.2">
      <c r="C895" s="263"/>
    </row>
    <row r="896" spans="1:3" x14ac:dyDescent="0.2">
      <c r="C896" s="263"/>
    </row>
    <row r="897" spans="1:3" x14ac:dyDescent="0.2">
      <c r="A897" s="261"/>
      <c r="C897" s="263"/>
    </row>
    <row r="898" spans="1:3" x14ac:dyDescent="0.2">
      <c r="C898" s="263"/>
    </row>
    <row r="899" spans="1:3" x14ac:dyDescent="0.2">
      <c r="C899" s="263"/>
    </row>
    <row r="900" spans="1:3" x14ac:dyDescent="0.2">
      <c r="C900" s="263"/>
    </row>
    <row r="901" spans="1:3" x14ac:dyDescent="0.2">
      <c r="A901" s="262"/>
    </row>
    <row r="902" spans="1:3" x14ac:dyDescent="0.2">
      <c r="A902" s="261"/>
    </row>
    <row r="903" spans="1:3" x14ac:dyDescent="0.2">
      <c r="C903" s="263"/>
    </row>
    <row r="904" spans="1:3" x14ac:dyDescent="0.2">
      <c r="C904" s="263"/>
    </row>
    <row r="905" spans="1:3" x14ac:dyDescent="0.2">
      <c r="C905" s="263"/>
    </row>
    <row r="907" spans="1:3" x14ac:dyDescent="0.2">
      <c r="A907" s="261"/>
    </row>
    <row r="908" spans="1:3" x14ac:dyDescent="0.2">
      <c r="C908" s="263"/>
    </row>
    <row r="909" spans="1:3" x14ac:dyDescent="0.2">
      <c r="C909" s="263"/>
    </row>
    <row r="910" spans="1:3" x14ac:dyDescent="0.2">
      <c r="C910" s="263"/>
    </row>
    <row r="911" spans="1:3" x14ac:dyDescent="0.2">
      <c r="A911" s="262"/>
    </row>
    <row r="912" spans="1:3" x14ac:dyDescent="0.2">
      <c r="A912" s="261"/>
    </row>
    <row r="913" spans="1:3" x14ac:dyDescent="0.2">
      <c r="C913" s="263"/>
    </row>
    <row r="914" spans="1:3" x14ac:dyDescent="0.2">
      <c r="C914" s="263"/>
    </row>
    <row r="915" spans="1:3" x14ac:dyDescent="0.2">
      <c r="C915" s="263"/>
    </row>
    <row r="917" spans="1:3" x14ac:dyDescent="0.2">
      <c r="A917" s="261"/>
    </row>
    <row r="918" spans="1:3" x14ac:dyDescent="0.2">
      <c r="A918" s="261"/>
    </row>
    <row r="919" spans="1:3" x14ac:dyDescent="0.2">
      <c r="C919" s="263"/>
    </row>
    <row r="920" spans="1:3" x14ac:dyDescent="0.2">
      <c r="C920" s="263"/>
    </row>
    <row r="921" spans="1:3" x14ac:dyDescent="0.2">
      <c r="C921" s="263"/>
    </row>
    <row r="923" spans="1:3" x14ac:dyDescent="0.2">
      <c r="A923" s="261"/>
    </row>
    <row r="924" spans="1:3" x14ac:dyDescent="0.2">
      <c r="C924" s="263"/>
    </row>
    <row r="925" spans="1:3" x14ac:dyDescent="0.2">
      <c r="C925" s="263"/>
    </row>
    <row r="926" spans="1:3" x14ac:dyDescent="0.2">
      <c r="C926" s="263"/>
    </row>
    <row r="927" spans="1:3" x14ac:dyDescent="0.2">
      <c r="C927" s="263"/>
    </row>
    <row r="928" spans="1:3" x14ac:dyDescent="0.2">
      <c r="A928" s="261"/>
    </row>
    <row r="929" spans="1:3" x14ac:dyDescent="0.2">
      <c r="C929" s="263"/>
    </row>
    <row r="930" spans="1:3" x14ac:dyDescent="0.2">
      <c r="C930" s="263"/>
    </row>
    <row r="931" spans="1:3" x14ac:dyDescent="0.2">
      <c r="C931" s="263"/>
    </row>
    <row r="932" spans="1:3" x14ac:dyDescent="0.2">
      <c r="A932" s="262"/>
    </row>
    <row r="933" spans="1:3" x14ac:dyDescent="0.2">
      <c r="A933" s="261"/>
    </row>
    <row r="934" spans="1:3" x14ac:dyDescent="0.2">
      <c r="C934" s="263"/>
    </row>
    <row r="935" spans="1:3" x14ac:dyDescent="0.2">
      <c r="C935" s="263"/>
    </row>
    <row r="936" spans="1:3" x14ac:dyDescent="0.2">
      <c r="C936" s="263"/>
    </row>
    <row r="938" spans="1:3" x14ac:dyDescent="0.2">
      <c r="A938" s="261"/>
    </row>
    <row r="939" spans="1:3" x14ac:dyDescent="0.2">
      <c r="C939" s="263"/>
    </row>
    <row r="940" spans="1:3" x14ac:dyDescent="0.2">
      <c r="C940" s="263"/>
    </row>
    <row r="941" spans="1:3" x14ac:dyDescent="0.2">
      <c r="C941" s="263"/>
    </row>
    <row r="942" spans="1:3" x14ac:dyDescent="0.2">
      <c r="C942" s="263"/>
    </row>
    <row r="943" spans="1:3" x14ac:dyDescent="0.2">
      <c r="A943" s="261"/>
    </row>
    <row r="944" spans="1:3" x14ac:dyDescent="0.2">
      <c r="C944" s="263"/>
    </row>
    <row r="945" spans="1:3" x14ac:dyDescent="0.2">
      <c r="C945" s="263"/>
    </row>
    <row r="946" spans="1:3" x14ac:dyDescent="0.2">
      <c r="A946" s="261"/>
    </row>
    <row r="947" spans="1:3" x14ac:dyDescent="0.2">
      <c r="C947" s="263"/>
    </row>
    <row r="948" spans="1:3" x14ac:dyDescent="0.2">
      <c r="C948" s="263"/>
    </row>
    <row r="949" spans="1:3" x14ac:dyDescent="0.2">
      <c r="C949" s="263"/>
    </row>
    <row r="950" spans="1:3" x14ac:dyDescent="0.2">
      <c r="C950" s="263"/>
    </row>
    <row r="952" spans="1:3" x14ac:dyDescent="0.2">
      <c r="A952" s="261"/>
    </row>
    <row r="953" spans="1:3" x14ac:dyDescent="0.2">
      <c r="C953" s="263"/>
    </row>
    <row r="954" spans="1:3" x14ac:dyDescent="0.2">
      <c r="C954" s="263"/>
    </row>
    <row r="955" spans="1:3" x14ac:dyDescent="0.2">
      <c r="C955" s="263"/>
    </row>
    <row r="956" spans="1:3" x14ac:dyDescent="0.2">
      <c r="A956" s="262"/>
    </row>
    <row r="957" spans="1:3" x14ac:dyDescent="0.2">
      <c r="A957" s="261"/>
    </row>
    <row r="958" spans="1:3" x14ac:dyDescent="0.2">
      <c r="C958" s="263"/>
    </row>
    <row r="959" spans="1:3" x14ac:dyDescent="0.2">
      <c r="C959" s="263"/>
    </row>
    <row r="960" spans="1:3" x14ac:dyDescent="0.2">
      <c r="C960" s="263"/>
    </row>
    <row r="962" spans="1:3" x14ac:dyDescent="0.2">
      <c r="A962" s="261"/>
    </row>
    <row r="963" spans="1:3" x14ac:dyDescent="0.2">
      <c r="C963" s="263"/>
    </row>
    <row r="964" spans="1:3" x14ac:dyDescent="0.2">
      <c r="C964" s="263"/>
    </row>
    <row r="965" spans="1:3" x14ac:dyDescent="0.2">
      <c r="C965" s="263"/>
    </row>
    <row r="967" spans="1:3" x14ac:dyDescent="0.2">
      <c r="A967" s="261"/>
    </row>
    <row r="968" spans="1:3" x14ac:dyDescent="0.2">
      <c r="C968" s="263"/>
    </row>
    <row r="969" spans="1:3" x14ac:dyDescent="0.2">
      <c r="C969" s="263"/>
    </row>
    <row r="970" spans="1:3" x14ac:dyDescent="0.2">
      <c r="C970" s="263"/>
    </row>
    <row r="971" spans="1:3" x14ac:dyDescent="0.2">
      <c r="C971" s="263"/>
    </row>
    <row r="972" spans="1:3" x14ac:dyDescent="0.2">
      <c r="A972" s="261"/>
    </row>
    <row r="973" spans="1:3" x14ac:dyDescent="0.2">
      <c r="C973" s="263"/>
    </row>
    <row r="974" spans="1:3" x14ac:dyDescent="0.2">
      <c r="A974" s="261"/>
    </row>
    <row r="975" spans="1:3" x14ac:dyDescent="0.2">
      <c r="C975" s="263"/>
    </row>
    <row r="976" spans="1:3" x14ac:dyDescent="0.2">
      <c r="C976" s="263"/>
    </row>
    <row r="977" spans="1:3" x14ac:dyDescent="0.2">
      <c r="C977" s="263"/>
    </row>
    <row r="979" spans="1:3" x14ac:dyDescent="0.2">
      <c r="A979" s="261"/>
    </row>
    <row r="980" spans="1:3" x14ac:dyDescent="0.2">
      <c r="C980" s="263"/>
    </row>
    <row r="981" spans="1:3" x14ac:dyDescent="0.2">
      <c r="C981" s="263"/>
    </row>
    <row r="982" spans="1:3" x14ac:dyDescent="0.2">
      <c r="C982" s="263"/>
    </row>
    <row r="983" spans="1:3" x14ac:dyDescent="0.2">
      <c r="C983" s="263"/>
    </row>
    <row r="984" spans="1:3" x14ac:dyDescent="0.2">
      <c r="A984" s="261"/>
    </row>
    <row r="985" spans="1:3" x14ac:dyDescent="0.2">
      <c r="C985" s="263"/>
    </row>
    <row r="986" spans="1:3" x14ac:dyDescent="0.2">
      <c r="C986" s="263"/>
    </row>
    <row r="987" spans="1:3" x14ac:dyDescent="0.2">
      <c r="C987" s="263"/>
    </row>
    <row r="988" spans="1:3" x14ac:dyDescent="0.2">
      <c r="A988" s="262"/>
    </row>
    <row r="989" spans="1:3" x14ac:dyDescent="0.2">
      <c r="A989" s="261"/>
    </row>
    <row r="990" spans="1:3" x14ac:dyDescent="0.2">
      <c r="C990" s="263"/>
    </row>
    <row r="991" spans="1:3" x14ac:dyDescent="0.2">
      <c r="C991" s="263"/>
    </row>
    <row r="992" spans="1:3" x14ac:dyDescent="0.2">
      <c r="C992" s="263"/>
    </row>
    <row r="994" spans="1:3" x14ac:dyDescent="0.2">
      <c r="A994" s="261"/>
    </row>
    <row r="995" spans="1:3" x14ac:dyDescent="0.2">
      <c r="C995" s="263"/>
    </row>
    <row r="996" spans="1:3" x14ac:dyDescent="0.2">
      <c r="C996" s="263"/>
    </row>
    <row r="997" spans="1:3" x14ac:dyDescent="0.2">
      <c r="C997" s="263"/>
    </row>
    <row r="998" spans="1:3" x14ac:dyDescent="0.2">
      <c r="C998" s="263"/>
    </row>
    <row r="999" spans="1:3" x14ac:dyDescent="0.2">
      <c r="A999" s="261"/>
    </row>
    <row r="1000" spans="1:3" x14ac:dyDescent="0.2">
      <c r="C1000" s="263"/>
    </row>
    <row r="1001" spans="1:3" x14ac:dyDescent="0.2">
      <c r="C1001" s="263"/>
    </row>
    <row r="1002" spans="1:3" x14ac:dyDescent="0.2">
      <c r="A1002" s="261"/>
    </row>
    <row r="1003" spans="1:3" x14ac:dyDescent="0.2">
      <c r="C1003" s="263"/>
    </row>
    <row r="1004" spans="1:3" x14ac:dyDescent="0.2">
      <c r="C1004" s="263"/>
    </row>
    <row r="1005" spans="1:3" x14ac:dyDescent="0.2">
      <c r="C1005" s="263"/>
    </row>
    <row r="1006" spans="1:3" x14ac:dyDescent="0.2">
      <c r="C1006" s="263"/>
    </row>
    <row r="1007" spans="1:3" x14ac:dyDescent="0.2">
      <c r="C1007" s="263"/>
    </row>
    <row r="1008" spans="1:3" x14ac:dyDescent="0.2">
      <c r="C1008" s="263"/>
    </row>
    <row r="1009" spans="1:3" x14ac:dyDescent="0.2">
      <c r="A1009" s="261"/>
      <c r="C1009" s="263"/>
    </row>
    <row r="1010" spans="1:3" x14ac:dyDescent="0.2">
      <c r="C1010" s="263"/>
    </row>
    <row r="1011" spans="1:3" x14ac:dyDescent="0.2">
      <c r="C1011" s="263"/>
    </row>
    <row r="1012" spans="1:3" x14ac:dyDescent="0.2">
      <c r="C1012" s="263"/>
    </row>
    <row r="1013" spans="1:3" x14ac:dyDescent="0.2">
      <c r="A1013" s="262"/>
    </row>
    <row r="1014" spans="1:3" x14ac:dyDescent="0.2">
      <c r="A1014" s="261"/>
    </row>
    <row r="1015" spans="1:3" x14ac:dyDescent="0.2">
      <c r="C1015" s="263"/>
    </row>
    <row r="1016" spans="1:3" x14ac:dyDescent="0.2">
      <c r="C1016" s="263"/>
    </row>
    <row r="1017" spans="1:3" x14ac:dyDescent="0.2">
      <c r="C1017" s="263"/>
    </row>
    <row r="1019" spans="1:3" x14ac:dyDescent="0.2">
      <c r="A1019" s="261"/>
    </row>
    <row r="1020" spans="1:3" x14ac:dyDescent="0.2">
      <c r="C1020" s="263"/>
    </row>
    <row r="1021" spans="1:3" x14ac:dyDescent="0.2">
      <c r="C1021" s="263"/>
    </row>
    <row r="1022" spans="1:3" x14ac:dyDescent="0.2">
      <c r="C1022" s="263"/>
    </row>
    <row r="1023" spans="1:3" x14ac:dyDescent="0.2">
      <c r="A1023" s="262"/>
    </row>
    <row r="1024" spans="1:3" x14ac:dyDescent="0.2">
      <c r="A1024" s="261"/>
    </row>
    <row r="1025" spans="1:3" x14ac:dyDescent="0.2">
      <c r="C1025" s="263"/>
    </row>
    <row r="1026" spans="1:3" x14ac:dyDescent="0.2">
      <c r="C1026" s="263"/>
    </row>
    <row r="1027" spans="1:3" x14ac:dyDescent="0.2">
      <c r="C1027" s="263"/>
    </row>
    <row r="1029" spans="1:3" x14ac:dyDescent="0.2">
      <c r="A1029" s="261"/>
    </row>
    <row r="1030" spans="1:3" x14ac:dyDescent="0.2">
      <c r="A1030" s="261"/>
    </row>
    <row r="1031" spans="1:3" x14ac:dyDescent="0.2">
      <c r="C1031" s="263"/>
    </row>
    <row r="1032" spans="1:3" x14ac:dyDescent="0.2">
      <c r="C1032" s="263"/>
    </row>
    <row r="1033" spans="1:3" x14ac:dyDescent="0.2">
      <c r="C1033" s="263"/>
    </row>
    <row r="1035" spans="1:3" x14ac:dyDescent="0.2">
      <c r="A1035" s="261"/>
    </row>
    <row r="1036" spans="1:3" x14ac:dyDescent="0.2">
      <c r="C1036" s="263"/>
    </row>
    <row r="1037" spans="1:3" x14ac:dyDescent="0.2">
      <c r="C1037" s="263"/>
    </row>
    <row r="1038" spans="1:3" x14ac:dyDescent="0.2">
      <c r="C1038" s="263"/>
    </row>
    <row r="1039" spans="1:3" x14ac:dyDescent="0.2">
      <c r="C1039" s="263"/>
    </row>
    <row r="1040" spans="1:3" x14ac:dyDescent="0.2">
      <c r="A1040" s="261"/>
    </row>
    <row r="1041" spans="1:3" x14ac:dyDescent="0.2">
      <c r="C1041" s="263"/>
    </row>
    <row r="1042" spans="1:3" x14ac:dyDescent="0.2">
      <c r="C1042" s="263"/>
    </row>
    <row r="1043" spans="1:3" x14ac:dyDescent="0.2">
      <c r="C1043" s="263"/>
    </row>
    <row r="1044" spans="1:3" x14ac:dyDescent="0.2">
      <c r="A1044" s="262"/>
    </row>
    <row r="1045" spans="1:3" x14ac:dyDescent="0.2">
      <c r="A1045" s="261"/>
    </row>
    <row r="1046" spans="1:3" x14ac:dyDescent="0.2">
      <c r="C1046" s="263"/>
    </row>
    <row r="1047" spans="1:3" x14ac:dyDescent="0.2">
      <c r="C1047" s="263"/>
    </row>
    <row r="1048" spans="1:3" x14ac:dyDescent="0.2">
      <c r="C1048" s="263"/>
    </row>
    <row r="1050" spans="1:3" x14ac:dyDescent="0.2">
      <c r="A1050" s="261"/>
    </row>
    <row r="1051" spans="1:3" x14ac:dyDescent="0.2">
      <c r="C1051" s="263"/>
    </row>
    <row r="1052" spans="1:3" x14ac:dyDescent="0.2">
      <c r="C1052" s="263"/>
    </row>
    <row r="1053" spans="1:3" x14ac:dyDescent="0.2">
      <c r="C1053" s="263"/>
    </row>
    <row r="1054" spans="1:3" x14ac:dyDescent="0.2">
      <c r="C1054" s="263"/>
    </row>
    <row r="1055" spans="1:3" x14ac:dyDescent="0.2">
      <c r="A1055" s="261"/>
    </row>
    <row r="1056" spans="1:3" x14ac:dyDescent="0.2">
      <c r="C1056" s="263"/>
    </row>
    <row r="1057" spans="1:3" x14ac:dyDescent="0.2">
      <c r="C1057" s="263"/>
    </row>
    <row r="1058" spans="1:3" x14ac:dyDescent="0.2">
      <c r="A1058" s="261"/>
    </row>
    <row r="1059" spans="1:3" x14ac:dyDescent="0.2">
      <c r="C1059" s="263"/>
    </row>
    <row r="1060" spans="1:3" x14ac:dyDescent="0.2">
      <c r="C1060" s="263"/>
    </row>
    <row r="1061" spans="1:3" x14ac:dyDescent="0.2">
      <c r="C1061" s="263"/>
    </row>
  </sheetData>
  <mergeCells count="110"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0" bestFit="1" customWidth="1"/>
    <col min="2" max="9" width="9.140625" style="80"/>
    <col min="10" max="10" width="17.5703125" style="80" customWidth="1"/>
    <col min="11" max="11" width="8.28515625" style="80" customWidth="1"/>
    <col min="12" max="12" width="28.140625" customWidth="1"/>
    <col min="13" max="14" width="10.140625" customWidth="1"/>
  </cols>
  <sheetData>
    <row r="1" spans="1:16" ht="15.75" x14ac:dyDescent="0.25">
      <c r="A1" s="79" t="str">
        <f>CONCATENATE("Industry Figure 1  Growth in Employment by Industry Group (SIC 2007), ",M6," and ",N6,", ",Info!B5)</f>
        <v>Industry Figure 1  Growth in Employment by Industry Group (SIC 2007), 2015-2020 and 2020-2035, South West</v>
      </c>
    </row>
    <row r="2" spans="1:16" x14ac:dyDescent="0.2">
      <c r="A2" s="181" t="s">
        <v>534</v>
      </c>
    </row>
    <row r="3" spans="1:16" x14ac:dyDescent="0.2">
      <c r="L3" s="45" t="s">
        <v>449</v>
      </c>
    </row>
    <row r="5" spans="1:16" x14ac:dyDescent="0.2">
      <c r="L5" s="29" t="s">
        <v>418</v>
      </c>
    </row>
    <row r="6" spans="1:16" x14ac:dyDescent="0.2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2">
      <c r="L7" s="1" t="str">
        <f>'Ind T4'!A83</f>
        <v>All industries</v>
      </c>
      <c r="M7">
        <f>'Ind T4'!B122</f>
        <v>0.78076348315760935</v>
      </c>
      <c r="N7">
        <f>'Ind T4'!C122</f>
        <v>0.6738641534223655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-0.92265162078438712</v>
      </c>
      <c r="N9">
        <f>'Ind T4'!C120</f>
        <v>1.4341034947878528</v>
      </c>
    </row>
    <row r="10" spans="1:16" x14ac:dyDescent="0.2">
      <c r="L10" s="13" t="str">
        <f>'Ind T4'!A80</f>
        <v>Education</v>
      </c>
      <c r="M10">
        <f>'Ind T4'!B119</f>
        <v>9.9683069999922935E-2</v>
      </c>
      <c r="N10">
        <f>'Ind T4'!C119</f>
        <v>0.51039250914470813</v>
      </c>
    </row>
    <row r="11" spans="1:16" x14ac:dyDescent="0.2">
      <c r="L11" s="13" t="str">
        <f>'Ind T4'!A79</f>
        <v>Public admin. and defence</v>
      </c>
      <c r="M11">
        <f>'Ind T4'!B118</f>
        <v>1.6965044802447427</v>
      </c>
      <c r="N11">
        <f>'Ind T4'!C118</f>
        <v>0.48420598878411436</v>
      </c>
    </row>
    <row r="12" spans="1:16" x14ac:dyDescent="0.2">
      <c r="L12" s="1" t="str">
        <f>CONCATENATE("[",'Ind T4'!A78,"]")</f>
        <v>[Non-marketed services]</v>
      </c>
      <c r="M12">
        <f>'Ind T4'!B117</f>
        <v>-0.21399877691297142</v>
      </c>
      <c r="N12">
        <f>'Ind T4'!C117</f>
        <v>0.99896788844899831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82">
        <f>'Ind T4'!B115</f>
        <v>1.1918769742761626</v>
      </c>
      <c r="N14" s="82">
        <f>'Ind T4'!C115</f>
        <v>0.40980935194725454</v>
      </c>
    </row>
    <row r="15" spans="1:16" x14ac:dyDescent="0.2">
      <c r="L15" s="13" t="str">
        <f>'Ind T4'!A75</f>
        <v>Arts and entertainment</v>
      </c>
      <c r="M15" s="82">
        <f>'Ind T4'!B114</f>
        <v>-0.49133657470266101</v>
      </c>
      <c r="N15" s="82">
        <f>'Ind T4'!C114</f>
        <v>2.0114074363058787</v>
      </c>
    </row>
    <row r="16" spans="1:16" x14ac:dyDescent="0.2">
      <c r="L16" s="13" t="str">
        <f>'Ind T4'!A74</f>
        <v>Support services</v>
      </c>
      <c r="M16" s="82">
        <f>'Ind T4'!B113</f>
        <v>-0.30478890194173269</v>
      </c>
      <c r="N16" s="82">
        <f>'Ind T4'!C113</f>
        <v>1.2843693351431096</v>
      </c>
    </row>
    <row r="17" spans="12:14" x14ac:dyDescent="0.2">
      <c r="L17" s="13" t="str">
        <f>'Ind T4'!A73</f>
        <v>Professional services</v>
      </c>
      <c r="M17" s="82">
        <f>'Ind T4'!B112</f>
        <v>1.7575046339342482</v>
      </c>
      <c r="N17" s="82">
        <f>'Ind T4'!C112</f>
        <v>0.87148293023020518</v>
      </c>
    </row>
    <row r="18" spans="12:14" x14ac:dyDescent="0.2">
      <c r="L18" s="13" t="str">
        <f>'Ind T4'!A72</f>
        <v>Real estate</v>
      </c>
      <c r="M18" s="82">
        <f>'Ind T4'!B111</f>
        <v>2.3877570051540786</v>
      </c>
      <c r="N18" s="82">
        <f>'Ind T4'!C111</f>
        <v>-0.66665352317948345</v>
      </c>
    </row>
    <row r="19" spans="12:14" x14ac:dyDescent="0.2">
      <c r="L19" t="str">
        <f>'Ind T4'!A71</f>
        <v>Finance and insurance</v>
      </c>
      <c r="M19">
        <f>'Ind T4'!B110</f>
        <v>-0.23389753518839873</v>
      </c>
      <c r="N19">
        <f>'Ind T4'!C110</f>
        <v>-0.26907330748785485</v>
      </c>
    </row>
    <row r="20" spans="12:14" x14ac:dyDescent="0.2">
      <c r="L20" t="str">
        <f>'Ind T4'!A70</f>
        <v>Information technology</v>
      </c>
      <c r="M20">
        <f>'Ind T4'!B109</f>
        <v>-2.3584875697129082</v>
      </c>
      <c r="N20">
        <f>'Ind T4'!C109</f>
        <v>0.7415351336218734</v>
      </c>
    </row>
    <row r="21" spans="12:14" x14ac:dyDescent="0.2">
      <c r="L21" t="str">
        <f>'Ind T4'!A69</f>
        <v>Media</v>
      </c>
      <c r="M21">
        <f>'Ind T4'!B108</f>
        <v>6.0171941329044243</v>
      </c>
      <c r="N21">
        <f>'Ind T4'!C108</f>
        <v>-0.38004038111678629</v>
      </c>
    </row>
    <row r="22" spans="12:14" x14ac:dyDescent="0.2">
      <c r="L22" s="1" t="str">
        <f>CONCATENATE("[",'Ind T4'!A68,"]")</f>
        <v>[Business and other services]</v>
      </c>
      <c r="M22">
        <f>'Ind T4'!B107</f>
        <v>0.55570826707398435</v>
      </c>
      <c r="N22">
        <f>'Ind T4'!C107</f>
        <v>0.8082558215800173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3.0147227864928627</v>
      </c>
      <c r="N24">
        <f>'Ind T4'!C105</f>
        <v>1.3296949929990864</v>
      </c>
    </row>
    <row r="25" spans="12:14" x14ac:dyDescent="0.2">
      <c r="L25" s="13" t="str">
        <f>'Ind T4'!A65</f>
        <v>Transport and storage</v>
      </c>
      <c r="M25">
        <f>'Ind T4'!B104</f>
        <v>-0.52150582677362722</v>
      </c>
      <c r="N25">
        <f>'Ind T4'!C104</f>
        <v>0.21119132350693182</v>
      </c>
    </row>
    <row r="26" spans="12:14" x14ac:dyDescent="0.2">
      <c r="L26" s="13" t="str">
        <f>'Ind T4'!A64</f>
        <v>Wholesale and retail trade</v>
      </c>
      <c r="M26">
        <f>'Ind T4'!B103</f>
        <v>0.37013281794284758</v>
      </c>
      <c r="N26">
        <f>'Ind T4'!C103</f>
        <v>7.0996514844745562E-2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1.0290262721062815</v>
      </c>
      <c r="N27">
        <f>'Ind T4'!C102</f>
        <v>0.51104067400875586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2.6989650497885709</v>
      </c>
      <c r="N29">
        <f>'Ind T4'!C100</f>
        <v>1.2294677741013338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1.4329928749709397</v>
      </c>
      <c r="N31">
        <f>'Ind T4'!C98</f>
        <v>-0.48184108017523819</v>
      </c>
    </row>
    <row r="32" spans="12:14" x14ac:dyDescent="0.2">
      <c r="L32" s="13" t="str">
        <f>'Ind T4'!A58</f>
        <v>Engineering</v>
      </c>
      <c r="M32">
        <f>'Ind T4'!B97</f>
        <v>-0.74181695550494808</v>
      </c>
      <c r="N32">
        <f>'Ind T4'!C97</f>
        <v>-1.4636378766887503</v>
      </c>
    </row>
    <row r="33" spans="12:14" x14ac:dyDescent="0.2">
      <c r="L33" s="13" t="str">
        <f>'Ind T4'!A57</f>
        <v>Food drink and tobacco</v>
      </c>
      <c r="M33">
        <f>'Ind T4'!B96</f>
        <v>0.14742218101988502</v>
      </c>
      <c r="N33">
        <f>'Ind T4'!C96</f>
        <v>-1.6750199165972868</v>
      </c>
    </row>
    <row r="34" spans="12:14" x14ac:dyDescent="0.2">
      <c r="L34" s="1" t="str">
        <f>CONCATENATE("[",'Ind T4'!A56,"]")</f>
        <v>[Manufacturing]</v>
      </c>
      <c r="M34">
        <f>'Ind T4'!B95</f>
        <v>0.83287223850518899</v>
      </c>
      <c r="N34">
        <f>'Ind T4'!C95</f>
        <v>-0.81590744730979381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1.270525728760652</v>
      </c>
      <c r="N36">
        <f>'Ind T4'!C93</f>
        <v>0.9611685673671877</v>
      </c>
    </row>
    <row r="37" spans="12:14" x14ac:dyDescent="0.2">
      <c r="L37" s="13" t="str">
        <f>'Ind T4'!A53</f>
        <v>Electricity and gas</v>
      </c>
      <c r="M37">
        <f>'Ind T4'!B92</f>
        <v>16.894080619267204</v>
      </c>
      <c r="N37">
        <f>'Ind T4'!C92</f>
        <v>-0.58059495583130394</v>
      </c>
    </row>
    <row r="38" spans="12:14" x14ac:dyDescent="0.2">
      <c r="L38" s="13" t="str">
        <f>'Ind T4'!A52</f>
        <v>Mining and quarrying</v>
      </c>
      <c r="M38">
        <f>'Ind T4'!B91</f>
        <v>-5.5308207745223044</v>
      </c>
      <c r="N38">
        <f>'Ind T4'!C91</f>
        <v>-4.047861688957477</v>
      </c>
    </row>
    <row r="39" spans="12:14" x14ac:dyDescent="0.2">
      <c r="L39" s="44" t="str">
        <f>'Ind T4'!A51</f>
        <v>Agriculture</v>
      </c>
      <c r="M39">
        <f>'Ind T4'!B90</f>
        <v>4.0843325336207936</v>
      </c>
      <c r="N39">
        <f>'Ind T4'!C90</f>
        <v>0.413767909070617</v>
      </c>
    </row>
    <row r="40" spans="12:14" x14ac:dyDescent="0.2">
      <c r="L40" s="1" t="str">
        <f>CONCATENATE("[",'Ind T4'!A50,"]")</f>
        <v>[Primary sector and utilities]</v>
      </c>
      <c r="M40">
        <f>'Ind T4'!B89</f>
        <v>4.3863347615075154</v>
      </c>
      <c r="N40">
        <f>'Ind T4'!C89</f>
        <v>0.27320606080696308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0" customWidth="1"/>
    <col min="2" max="10" width="9.140625" style="80"/>
    <col min="11" max="11" width="23.28515625" style="80" customWidth="1"/>
    <col min="12" max="12" width="25.5703125" customWidth="1"/>
    <col min="13" max="15" width="7.7109375" bestFit="1" customWidth="1"/>
    <col min="16" max="16" width="7.42578125" bestFit="1" customWidth="1"/>
    <col min="17" max="17" width="7.7109375" bestFit="1" customWidth="1"/>
    <col min="18" max="19" width="7.42578125" bestFit="1" customWidth="1"/>
    <col min="20" max="30" width="7.7109375" bestFit="1" customWidth="1"/>
    <col min="31" max="31" width="7" bestFit="1" customWidth="1"/>
    <col min="32" max="35" width="7.42578125" bestFit="1" customWidth="1"/>
    <col min="36" max="38" width="7.71093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79" t="str">
        <f>CONCATENATE("Industry Figure 2  Employment by Industry (SIC 2007), ",$M$2,"-",$O$2,", ",Info!B5)</f>
        <v>Industry Figure 2  Employment by Industry (SIC 2007), 2010-2035, South West</v>
      </c>
      <c r="L1" s="45"/>
    </row>
    <row r="2" spans="1:96" x14ac:dyDescent="0.2">
      <c r="A2" s="181" t="s">
        <v>534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2">
      <c r="L3" s="15"/>
      <c r="M3" s="15"/>
      <c r="N3" s="46"/>
      <c r="O3" s="15"/>
    </row>
    <row r="4" spans="1:96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2">
      <c r="L5" s="1" t="str">
        <f>'Ind T4'!A7</f>
        <v>Primary sector and utilities</v>
      </c>
      <c r="M5" s="86">
        <f>SUM(M6:M9)</f>
        <v>95.025999999467743</v>
      </c>
      <c r="N5" s="86">
        <f t="shared" ref="N5:AL5" si="1">SUM(N6:N9)</f>
        <v>87.407000000499465</v>
      </c>
      <c r="O5" s="86">
        <f t="shared" si="1"/>
        <v>90.429999999292377</v>
      </c>
      <c r="P5" s="86">
        <f t="shared" si="1"/>
        <v>81.431000000083827</v>
      </c>
      <c r="Q5" s="86">
        <f t="shared" si="1"/>
        <v>85.148000000415152</v>
      </c>
      <c r="R5" s="86">
        <f t="shared" si="1"/>
        <v>79.554999999860314</v>
      </c>
      <c r="S5" s="86">
        <f t="shared" si="1"/>
        <v>89.394000000175353</v>
      </c>
      <c r="T5" s="86">
        <f t="shared" si="1"/>
        <v>97.786000000504842</v>
      </c>
      <c r="U5" s="86">
        <f t="shared" si="1"/>
        <v>99.260000000637234</v>
      </c>
      <c r="V5" s="86">
        <f t="shared" si="1"/>
        <v>85.439000000354511</v>
      </c>
      <c r="W5" s="86">
        <f t="shared" si="1"/>
        <v>98.602000000047738</v>
      </c>
      <c r="X5" s="86">
        <f t="shared" si="1"/>
        <v>98.116999999707389</v>
      </c>
      <c r="Y5" s="86">
        <f t="shared" si="1"/>
        <v>97.979999999788376</v>
      </c>
      <c r="Z5" s="86">
        <f t="shared" si="1"/>
        <v>98.698999999673276</v>
      </c>
      <c r="AA5" s="86">
        <f t="shared" si="1"/>
        <v>99.817999999547879</v>
      </c>
      <c r="AB5" s="86">
        <f t="shared" si="1"/>
        <v>100.27599999998823</v>
      </c>
      <c r="AC5" s="86">
        <f t="shared" si="1"/>
        <v>100.66400000001715</v>
      </c>
      <c r="AD5" s="86">
        <f t="shared" si="1"/>
        <v>100.95299999950103</v>
      </c>
      <c r="AE5" s="86">
        <f t="shared" si="1"/>
        <v>101.17199999920807</v>
      </c>
      <c r="AF5" s="86">
        <f t="shared" si="1"/>
        <v>101.35699999928249</v>
      </c>
      <c r="AG5" s="86">
        <f t="shared" si="1"/>
        <v>101.6199999991438</v>
      </c>
      <c r="AH5" s="86">
        <f t="shared" si="1"/>
        <v>101.85099999953782</v>
      </c>
      <c r="AI5" s="86">
        <f t="shared" si="1"/>
        <v>102.08199999949302</v>
      </c>
      <c r="AJ5" s="86">
        <f t="shared" si="1"/>
        <v>102.29999999966415</v>
      </c>
      <c r="AK5" s="86">
        <f t="shared" si="1"/>
        <v>102.51399999915955</v>
      </c>
      <c r="AL5" s="86">
        <f t="shared" si="1"/>
        <v>102.72099999935368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2" t="str">
        <f>'Ind T4'!A8</f>
        <v>Agriculture</v>
      </c>
      <c r="M6" s="11">
        <v>64.20499999946496</v>
      </c>
      <c r="N6" s="11">
        <v>55.311000000479432</v>
      </c>
      <c r="O6" s="11">
        <v>58.561999999561998</v>
      </c>
      <c r="P6" s="11">
        <v>49.719000000134216</v>
      </c>
      <c r="Q6" s="11">
        <v>55.708000000371591</v>
      </c>
      <c r="R6" s="11">
        <v>47.735999999941654</v>
      </c>
      <c r="S6" s="11">
        <v>54.765000000158189</v>
      </c>
      <c r="T6" s="11">
        <v>64.161000000391567</v>
      </c>
      <c r="U6" s="11">
        <v>58.655000000492016</v>
      </c>
      <c r="V6" s="11">
        <v>47.696000000365181</v>
      </c>
      <c r="W6" s="11">
        <v>58.314000000000618</v>
      </c>
      <c r="X6" s="11">
        <v>58.770999999769337</v>
      </c>
      <c r="Y6" s="11">
        <v>59.176999999607517</v>
      </c>
      <c r="Z6" s="11">
        <v>59.827999999501017</v>
      </c>
      <c r="AA6" s="11">
        <v>60.244999999376979</v>
      </c>
      <c r="AB6" s="11">
        <v>60.366999999567113</v>
      </c>
      <c r="AC6" s="11">
        <v>60.533999999590478</v>
      </c>
      <c r="AD6" s="11">
        <v>60.686999999177239</v>
      </c>
      <c r="AE6" s="11">
        <v>60.819999998905473</v>
      </c>
      <c r="AF6" s="11">
        <v>60.945999999055822</v>
      </c>
      <c r="AG6" s="11">
        <v>61.148999998861157</v>
      </c>
      <c r="AH6" s="11">
        <v>61.341999999242006</v>
      </c>
      <c r="AI6" s="11">
        <v>61.529999999123312</v>
      </c>
      <c r="AJ6" s="11">
        <v>61.707999999209669</v>
      </c>
      <c r="AK6" s="171">
        <v>61.874999998885777</v>
      </c>
      <c r="AL6" s="11">
        <v>62.039999999227852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2" t="str">
        <f>'Ind T4'!A9</f>
        <v>Mining and quarrying</v>
      </c>
      <c r="M7" s="11">
        <v>3.8510000000110787</v>
      </c>
      <c r="N7" s="11">
        <v>3.5840000000049113</v>
      </c>
      <c r="O7" s="11">
        <v>5.3729999999472051</v>
      </c>
      <c r="P7" s="11">
        <v>4.1949999999976848</v>
      </c>
      <c r="Q7" s="11">
        <v>2.4920000000039533</v>
      </c>
      <c r="R7" s="11">
        <v>4.6809999999860983</v>
      </c>
      <c r="S7" s="11">
        <v>2.8780000000033414</v>
      </c>
      <c r="T7" s="11">
        <v>2.979000000011002</v>
      </c>
      <c r="U7" s="11">
        <v>4.3260000000259362</v>
      </c>
      <c r="V7" s="11">
        <v>3.4759999999958771</v>
      </c>
      <c r="W7" s="11">
        <v>3.522000000009839</v>
      </c>
      <c r="X7" s="11">
        <v>3.3120000000025738</v>
      </c>
      <c r="Y7" s="11">
        <v>3.2280000000104652</v>
      </c>
      <c r="Z7" s="11">
        <v>3.0540000000095486</v>
      </c>
      <c r="AA7" s="11">
        <v>2.881000000011495</v>
      </c>
      <c r="AB7" s="11">
        <v>2.7410000000203789</v>
      </c>
      <c r="AC7" s="11">
        <v>2.6280000000215997</v>
      </c>
      <c r="AD7" s="11">
        <v>2.5170000000248591</v>
      </c>
      <c r="AE7" s="11">
        <v>2.4190000000257856</v>
      </c>
      <c r="AF7" s="11">
        <v>2.3300000000099987</v>
      </c>
      <c r="AG7" s="11">
        <v>2.2490000000175594</v>
      </c>
      <c r="AH7" s="11">
        <v>2.1650000000180283</v>
      </c>
      <c r="AI7" s="11">
        <v>2.0900000000239656</v>
      </c>
      <c r="AJ7" s="11">
        <v>2.0190000000309407</v>
      </c>
      <c r="AK7" s="171">
        <v>1.9540000000131044</v>
      </c>
      <c r="AL7" s="11">
        <v>1.8950000000172895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2" t="str">
        <f>'Ind T4'!A10</f>
        <v>Electricity and gas</v>
      </c>
      <c r="M8" s="11">
        <v>12.936000000040899</v>
      </c>
      <c r="N8" s="11">
        <v>9.976999999943736</v>
      </c>
      <c r="O8" s="11">
        <v>8.9319999999949307</v>
      </c>
      <c r="P8" s="11">
        <v>10.784999999962409</v>
      </c>
      <c r="Q8" s="11">
        <v>7.99199999996718</v>
      </c>
      <c r="R8" s="11">
        <v>7.0339999999593914</v>
      </c>
      <c r="S8" s="11">
        <v>10.783999999953293</v>
      </c>
      <c r="T8" s="11">
        <v>10.820000000008267</v>
      </c>
      <c r="U8" s="11">
        <v>14.974999999999371</v>
      </c>
      <c r="V8" s="11">
        <v>11.115999999992283</v>
      </c>
      <c r="W8" s="11">
        <v>15.351999999954746</v>
      </c>
      <c r="X8" s="11">
        <v>15.027999999937625</v>
      </c>
      <c r="Y8" s="11">
        <v>14.691000000069847</v>
      </c>
      <c r="Z8" s="11">
        <v>14.594000000060269</v>
      </c>
      <c r="AA8" s="11">
        <v>14.538000000042889</v>
      </c>
      <c r="AB8" s="11">
        <v>14.492000000170153</v>
      </c>
      <c r="AC8" s="11">
        <v>14.441000000164884</v>
      </c>
      <c r="AD8" s="11">
        <v>14.394000000019918</v>
      </c>
      <c r="AE8" s="11">
        <v>14.343999999983165</v>
      </c>
      <c r="AF8" s="11">
        <v>14.29800000003719</v>
      </c>
      <c r="AG8" s="11">
        <v>14.259000000010712</v>
      </c>
      <c r="AH8" s="11">
        <v>14.219000000015315</v>
      </c>
      <c r="AI8" s="11">
        <v>14.180000000002234</v>
      </c>
      <c r="AJ8" s="11">
        <v>14.143999999981546</v>
      </c>
      <c r="AK8" s="171">
        <v>14.105999999977415</v>
      </c>
      <c r="AL8" s="11">
        <v>14.067999999897655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2" t="str">
        <f>'Ind T4'!A11</f>
        <v>Water and sewerage</v>
      </c>
      <c r="M9" s="11">
        <v>14.033999999950812</v>
      </c>
      <c r="N9" s="11">
        <v>18.535000000071399</v>
      </c>
      <c r="O9" s="11">
        <v>17.562999999788246</v>
      </c>
      <c r="P9" s="11">
        <v>16.731999999989508</v>
      </c>
      <c r="Q9" s="11">
        <v>18.956000000072425</v>
      </c>
      <c r="R9" s="11">
        <v>20.103999999973173</v>
      </c>
      <c r="S9" s="11">
        <v>20.967000000060541</v>
      </c>
      <c r="T9" s="11">
        <v>19.826000000094016</v>
      </c>
      <c r="U9" s="11">
        <v>21.304000000119906</v>
      </c>
      <c r="V9" s="11">
        <v>23.151000000001172</v>
      </c>
      <c r="W9" s="11">
        <v>21.414000000082535</v>
      </c>
      <c r="X9" s="11">
        <v>21.005999999997854</v>
      </c>
      <c r="Y9" s="11">
        <v>20.884000000100542</v>
      </c>
      <c r="Z9" s="11">
        <v>21.223000000102452</v>
      </c>
      <c r="AA9" s="11">
        <v>22.154000000116511</v>
      </c>
      <c r="AB9" s="11">
        <v>22.676000000230591</v>
      </c>
      <c r="AC9" s="11">
        <v>23.061000000240192</v>
      </c>
      <c r="AD9" s="11">
        <v>23.355000000279027</v>
      </c>
      <c r="AE9" s="11">
        <v>23.589000000293652</v>
      </c>
      <c r="AF9" s="11">
        <v>23.783000000179484</v>
      </c>
      <c r="AG9" s="11">
        <v>23.963000000254375</v>
      </c>
      <c r="AH9" s="11">
        <v>24.125000000262474</v>
      </c>
      <c r="AI9" s="11">
        <v>24.282000000343519</v>
      </c>
      <c r="AJ9" s="11">
        <v>24.429000000441992</v>
      </c>
      <c r="AK9" s="171">
        <v>24.579000000283251</v>
      </c>
      <c r="AL9" s="11">
        <v>24.718000000210878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86">
        <f t="shared" ref="M11:P11" si="2">SUM(M12:M14)</f>
        <v>239.7449999990767</v>
      </c>
      <c r="N11" s="86">
        <f t="shared" si="2"/>
        <v>230.5570000004208</v>
      </c>
      <c r="O11" s="86">
        <f t="shared" si="2"/>
        <v>247.09399999793649</v>
      </c>
      <c r="P11" s="86">
        <f t="shared" si="2"/>
        <v>242.35699999969819</v>
      </c>
      <c r="Q11" s="86">
        <f>SUM(Q12:Q14)</f>
        <v>232.12600000063765</v>
      </c>
      <c r="R11" s="86">
        <f t="shared" ref="R11" si="3">SUM(R12:R14)</f>
        <v>227.85299999965019</v>
      </c>
      <c r="S11" s="86">
        <f t="shared" ref="S11" si="4">SUM(S12:S14)</f>
        <v>238.03200000019768</v>
      </c>
      <c r="T11" s="86">
        <f t="shared" ref="T11" si="5">SUM(T12:T14)</f>
        <v>234.00700000095929</v>
      </c>
      <c r="U11" s="86">
        <f t="shared" ref="U11" si="6">SUM(U12:U14)</f>
        <v>232.7690000016093</v>
      </c>
      <c r="V11" s="86">
        <f t="shared" ref="V11" si="7">SUM(V12:V14)</f>
        <v>237.47200000023369</v>
      </c>
      <c r="W11" s="86">
        <f t="shared" ref="W11" si="8">SUM(W12:W14)</f>
        <v>237.5010000003135</v>
      </c>
      <c r="X11" s="86">
        <f t="shared" ref="X11" si="9">SUM(X12:X14)</f>
        <v>234.49899999953823</v>
      </c>
      <c r="Y11" s="86">
        <f t="shared" ref="Y11" si="10">SUM(Y12:Y14)</f>
        <v>231.94500000094823</v>
      </c>
      <c r="Z11" s="86">
        <f t="shared" ref="Z11" si="11">SUM(Z12:Z14)</f>
        <v>229.84400000088618</v>
      </c>
      <c r="AA11" s="86">
        <f t="shared" ref="AA11" si="12">SUM(AA12:AA14)</f>
        <v>227.98700000089184</v>
      </c>
      <c r="AB11" s="86">
        <f t="shared" ref="AB11" si="13">SUM(AB12:AB14)</f>
        <v>225.78700000207954</v>
      </c>
      <c r="AC11" s="86">
        <f t="shared" ref="AC11" si="14">SUM(AC12:AC14)</f>
        <v>224.03700000199973</v>
      </c>
      <c r="AD11" s="86">
        <f>SUM(AD12:AD14)</f>
        <v>222.25600000246288</v>
      </c>
      <c r="AE11" s="86">
        <f t="shared" ref="AE11" si="15">SUM(AE12:AE14)</f>
        <v>220.50200000248105</v>
      </c>
      <c r="AF11" s="86">
        <f t="shared" ref="AF11" si="16">SUM(AF12:AF14)</f>
        <v>218.81100000182153</v>
      </c>
      <c r="AG11" s="86">
        <f t="shared" ref="AG11:AL11" si="17">SUM(AG12:AG14)</f>
        <v>217.35700000231151</v>
      </c>
      <c r="AH11" s="86">
        <f t="shared" si="17"/>
        <v>215.79500000228319</v>
      </c>
      <c r="AI11" s="86">
        <f t="shared" si="17"/>
        <v>214.26300000282095</v>
      </c>
      <c r="AJ11" s="86">
        <f t="shared" si="17"/>
        <v>212.78400000342344</v>
      </c>
      <c r="AK11" s="86">
        <f t="shared" si="17"/>
        <v>211.33100000196364</v>
      </c>
      <c r="AL11" s="86">
        <f t="shared" si="17"/>
        <v>210.03700000107335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2" t="str">
        <f>'Ind T4'!A14</f>
        <v>Food drink and tobacco</v>
      </c>
      <c r="M12" s="11">
        <v>35.121999999572978</v>
      </c>
      <c r="N12" s="11">
        <v>31.075000000235136</v>
      </c>
      <c r="O12" s="11">
        <v>35.084999999488154</v>
      </c>
      <c r="P12" s="11">
        <v>34.487000000021681</v>
      </c>
      <c r="Q12" s="11">
        <v>30.584000000259788</v>
      </c>
      <c r="R12" s="11">
        <v>35.168999999962196</v>
      </c>
      <c r="S12" s="11">
        <v>40.237000000220561</v>
      </c>
      <c r="T12" s="11">
        <v>36.35800000024274</v>
      </c>
      <c r="U12" s="11">
        <v>34.22700000038629</v>
      </c>
      <c r="V12" s="11">
        <v>34.708000000168767</v>
      </c>
      <c r="W12" s="11">
        <v>35.4290000002201</v>
      </c>
      <c r="X12" s="11">
        <v>34.945999999983606</v>
      </c>
      <c r="Y12" s="11">
        <v>34.499000000352488</v>
      </c>
      <c r="Z12" s="11">
        <v>34.240000000348495</v>
      </c>
      <c r="AA12" s="11">
        <v>33.73000000032421</v>
      </c>
      <c r="AB12" s="11">
        <v>33.077000000638492</v>
      </c>
      <c r="AC12" s="11">
        <v>32.513000000624267</v>
      </c>
      <c r="AD12" s="11">
        <v>31.93700000049752</v>
      </c>
      <c r="AE12" s="11">
        <v>31.350000000493107</v>
      </c>
      <c r="AF12" s="11">
        <v>30.77100000038828</v>
      </c>
      <c r="AG12" s="11">
        <v>30.211000000417084</v>
      </c>
      <c r="AH12" s="11">
        <v>29.654000000458158</v>
      </c>
      <c r="AI12" s="11">
        <v>29.108000000535714</v>
      </c>
      <c r="AJ12" s="11">
        <v>28.56600000062334</v>
      </c>
      <c r="AK12" s="171">
        <v>28.030000000327931</v>
      </c>
      <c r="AL12" s="11">
        <v>27.499000000160603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2" t="str">
        <f>'Ind T4'!A15</f>
        <v>Engineering</v>
      </c>
      <c r="M13" s="11">
        <v>37.291999999993592</v>
      </c>
      <c r="N13" s="11">
        <v>46.66599999988042</v>
      </c>
      <c r="O13" s="11">
        <v>47.419999999858348</v>
      </c>
      <c r="P13" s="11">
        <v>52.597999999876137</v>
      </c>
      <c r="Q13" s="11">
        <v>40.768999999930514</v>
      </c>
      <c r="R13" s="11">
        <v>43.699999999860836</v>
      </c>
      <c r="S13" s="11">
        <v>40.809999999907646</v>
      </c>
      <c r="T13" s="11">
        <v>49.246000000100771</v>
      </c>
      <c r="U13" s="11">
        <v>41.70600000015169</v>
      </c>
      <c r="V13" s="11">
        <v>43.207999999971001</v>
      </c>
      <c r="W13" s="11">
        <v>42.102999999961348</v>
      </c>
      <c r="X13" s="11">
        <v>42.540999999881585</v>
      </c>
      <c r="Y13" s="11">
        <v>41.955000000149873</v>
      </c>
      <c r="Z13" s="11">
        <v>41.493000000139148</v>
      </c>
      <c r="AA13" s="11">
        <v>41.002000000144761</v>
      </c>
      <c r="AB13" s="11">
        <v>40.544000000358835</v>
      </c>
      <c r="AC13" s="11">
        <v>39.81200000033666</v>
      </c>
      <c r="AD13" s="11">
        <v>39.08500000042941</v>
      </c>
      <c r="AE13" s="11">
        <v>38.369000000437936</v>
      </c>
      <c r="AF13" s="11">
        <v>37.669000000346259</v>
      </c>
      <c r="AG13" s="11">
        <v>37.009000000429502</v>
      </c>
      <c r="AH13" s="11">
        <v>36.343000000398305</v>
      </c>
      <c r="AI13" s="11">
        <v>35.682000000485218</v>
      </c>
      <c r="AJ13" s="11">
        <v>35.031000000568575</v>
      </c>
      <c r="AK13" s="171">
        <v>34.386000000342825</v>
      </c>
      <c r="AL13" s="11">
        <v>33.749000000190293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2" t="str">
        <f>'Ind T4'!A16</f>
        <v>Rest of manufacturing</v>
      </c>
      <c r="M14" s="11">
        <v>167.33099999951011</v>
      </c>
      <c r="N14" s="11">
        <v>152.81600000030525</v>
      </c>
      <c r="O14" s="11">
        <v>164.58899999859</v>
      </c>
      <c r="P14" s="11">
        <v>155.27199999980039</v>
      </c>
      <c r="Q14" s="11">
        <v>160.77300000044735</v>
      </c>
      <c r="R14" s="11">
        <v>148.98399999982718</v>
      </c>
      <c r="S14" s="11">
        <v>156.98500000006948</v>
      </c>
      <c r="T14" s="11">
        <v>148.40300000061578</v>
      </c>
      <c r="U14" s="11">
        <v>156.83600000107131</v>
      </c>
      <c r="V14" s="11">
        <v>159.55600000009392</v>
      </c>
      <c r="W14" s="11">
        <v>159.96900000013204</v>
      </c>
      <c r="X14" s="11">
        <v>157.01199999967304</v>
      </c>
      <c r="Y14" s="11">
        <v>155.49100000044587</v>
      </c>
      <c r="Z14" s="11">
        <v>154.11100000039855</v>
      </c>
      <c r="AA14" s="11">
        <v>153.25500000042288</v>
      </c>
      <c r="AB14" s="11">
        <v>152.16600000108221</v>
      </c>
      <c r="AC14" s="11">
        <v>151.7120000010388</v>
      </c>
      <c r="AD14" s="11">
        <v>151.23400000153595</v>
      </c>
      <c r="AE14" s="11">
        <v>150.78300000155002</v>
      </c>
      <c r="AF14" s="11">
        <v>150.371000001087</v>
      </c>
      <c r="AG14" s="11">
        <v>150.13700000146494</v>
      </c>
      <c r="AH14" s="11">
        <v>149.79800000142674</v>
      </c>
      <c r="AI14" s="11">
        <v>149.47300000180002</v>
      </c>
      <c r="AJ14" s="11">
        <v>149.18700000223151</v>
      </c>
      <c r="AK14" s="171">
        <v>148.9150000012929</v>
      </c>
      <c r="AL14" s="11">
        <v>148.78900000072247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86">
        <v>169.61099999860386</v>
      </c>
      <c r="N16" s="86">
        <v>184.15500000098658</v>
      </c>
      <c r="O16" s="86">
        <v>184.63799999608611</v>
      </c>
      <c r="P16" s="86">
        <v>188.54299999915938</v>
      </c>
      <c r="Q16" s="86">
        <v>200.64200000008191</v>
      </c>
      <c r="R16" s="86">
        <v>196.54299999680481</v>
      </c>
      <c r="S16" s="86">
        <v>206.59799999844742</v>
      </c>
      <c r="T16" s="86">
        <v>212.93600000125542</v>
      </c>
      <c r="U16" s="86">
        <v>211.09100000243248</v>
      </c>
      <c r="V16" s="86">
        <v>228.11900000249298</v>
      </c>
      <c r="W16" s="86">
        <v>224.53699999893027</v>
      </c>
      <c r="X16" s="86">
        <v>223.16299999634484</v>
      </c>
      <c r="Y16" s="86">
        <v>226.83999999370545</v>
      </c>
      <c r="Z16" s="86">
        <v>234.63899999341291</v>
      </c>
      <c r="AA16" s="86">
        <v>240.70199999299228</v>
      </c>
      <c r="AB16" s="86">
        <v>243.56499999355367</v>
      </c>
      <c r="AC16" s="86">
        <v>246.19299999388807</v>
      </c>
      <c r="AD16" s="86">
        <v>248.32499999480501</v>
      </c>
      <c r="AE16" s="86">
        <v>250.73899999363562</v>
      </c>
      <c r="AF16" s="86">
        <v>253.0469999934904</v>
      </c>
      <c r="AG16" s="86">
        <v>255.66199999267874</v>
      </c>
      <c r="AH16" s="86">
        <v>258.3459999956707</v>
      </c>
      <c r="AI16" s="86">
        <v>261.10499999567782</v>
      </c>
      <c r="AJ16" s="86">
        <v>263.92599999820459</v>
      </c>
      <c r="AK16" s="355">
        <v>266.7939999935997</v>
      </c>
      <c r="AL16" s="86">
        <v>269.70699999639885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86">
        <f t="shared" ref="M18:P18" si="18">SUM(M19:M21)</f>
        <v>744.55499998476466</v>
      </c>
      <c r="N18" s="86">
        <f t="shared" si="18"/>
        <v>730.82400000473058</v>
      </c>
      <c r="O18" s="86">
        <f t="shared" si="18"/>
        <v>725.28399998958457</v>
      </c>
      <c r="P18" s="86">
        <f t="shared" si="18"/>
        <v>738.49300000111043</v>
      </c>
      <c r="Q18" s="86">
        <f>SUM(Q19:Q21)</f>
        <v>751.93500001634595</v>
      </c>
      <c r="R18" s="86">
        <f t="shared" ref="R18" si="19">SUM(R19:R21)</f>
        <v>756.45700000375109</v>
      </c>
      <c r="S18" s="86">
        <f t="shared" ref="S18" si="20">SUM(S19:S21)</f>
        <v>793.09400001369545</v>
      </c>
      <c r="T18" s="86">
        <f t="shared" ref="T18" si="21">SUM(T19:T21)</f>
        <v>797.42300001276089</v>
      </c>
      <c r="U18" s="86">
        <f t="shared" ref="U18" si="22">SUM(U19:U21)</f>
        <v>813.63800001358049</v>
      </c>
      <c r="V18" s="86">
        <f t="shared" ref="V18" si="23">SUM(V19:V21)</f>
        <v>798.28900001216675</v>
      </c>
      <c r="W18" s="86">
        <f t="shared" ref="W18" si="24">SUM(W19:W21)</f>
        <v>796.18700001213904</v>
      </c>
      <c r="X18" s="86">
        <f t="shared" ref="X18" si="25">SUM(X19:X21)</f>
        <v>790.5529999979309</v>
      </c>
      <c r="Y18" s="86">
        <f t="shared" ref="Y18" si="26">SUM(Y19:Y21)</f>
        <v>796.18300001823718</v>
      </c>
      <c r="Z18" s="86">
        <f t="shared" ref="Z18" si="27">SUM(Z19:Z21)</f>
        <v>805.28800002032892</v>
      </c>
      <c r="AA18" s="86">
        <f t="shared" ref="AA18" si="28">SUM(AA19:AA21)</f>
        <v>813.98900001844709</v>
      </c>
      <c r="AB18" s="86">
        <f t="shared" ref="AB18" si="29">SUM(AB19:AB21)</f>
        <v>820.05200002800893</v>
      </c>
      <c r="AC18" s="86">
        <f t="shared" ref="AC18" si="30">SUM(AC19:AC21)</f>
        <v>825.09300002686928</v>
      </c>
      <c r="AD18" s="86">
        <f>SUM(AD19:AD21)</f>
        <v>829.622000014474</v>
      </c>
      <c r="AE18" s="86">
        <f t="shared" ref="AE18" si="31">SUM(AE19:AE21)</f>
        <v>833.80500001426412</v>
      </c>
      <c r="AF18" s="86">
        <f t="shared" ref="AF18" si="32">SUM(AF19:AF21)</f>
        <v>837.76900001471927</v>
      </c>
      <c r="AG18" s="86">
        <f t="shared" ref="AG18:AL18" si="33">SUM(AG19:AG21)</f>
        <v>841.760000011231</v>
      </c>
      <c r="AH18" s="86">
        <f t="shared" si="33"/>
        <v>845.57300001615909</v>
      </c>
      <c r="AI18" s="86">
        <f t="shared" si="33"/>
        <v>849.22000001607012</v>
      </c>
      <c r="AJ18" s="86">
        <f t="shared" si="33"/>
        <v>852.84900001669803</v>
      </c>
      <c r="AK18" s="86">
        <f t="shared" si="33"/>
        <v>856.25000001168621</v>
      </c>
      <c r="AL18" s="86">
        <f t="shared" si="33"/>
        <v>859.4520000006861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2" t="str">
        <f>'Ind T4'!A21</f>
        <v>Wholesale and retail trade</v>
      </c>
      <c r="M19" s="11">
        <v>428.00899999039433</v>
      </c>
      <c r="N19" s="11">
        <v>416.08500000227002</v>
      </c>
      <c r="O19" s="11">
        <v>414.01599999334502</v>
      </c>
      <c r="P19" s="11">
        <v>421.94899999993066</v>
      </c>
      <c r="Q19" s="11">
        <v>417.09100001075876</v>
      </c>
      <c r="R19" s="11">
        <v>426.89000000290804</v>
      </c>
      <c r="S19" s="11">
        <v>446.05600000913495</v>
      </c>
      <c r="T19" s="11">
        <v>433.51200000861706</v>
      </c>
      <c r="U19" s="11">
        <v>422.1400000082262</v>
      </c>
      <c r="V19" s="11">
        <v>426.2240000076718</v>
      </c>
      <c r="W19" s="11">
        <v>434.84900000751452</v>
      </c>
      <c r="X19" s="11">
        <v>436.12399999828887</v>
      </c>
      <c r="Y19" s="11">
        <v>436.19500001075562</v>
      </c>
      <c r="Z19" s="11">
        <v>435.82000001192341</v>
      </c>
      <c r="AA19" s="11">
        <v>436.0830000107116</v>
      </c>
      <c r="AB19" s="11">
        <v>436.71000001629199</v>
      </c>
      <c r="AC19" s="11">
        <v>437.02400001548756</v>
      </c>
      <c r="AD19" s="11">
        <v>437.26400000826987</v>
      </c>
      <c r="AE19" s="11">
        <v>437.43900000806769</v>
      </c>
      <c r="AF19" s="11">
        <v>437.60100000815925</v>
      </c>
      <c r="AG19" s="11">
        <v>437.83900000614062</v>
      </c>
      <c r="AH19" s="11">
        <v>438.11200000891449</v>
      </c>
      <c r="AI19" s="11">
        <v>438.36900000888227</v>
      </c>
      <c r="AJ19" s="11">
        <v>438.7950000094142</v>
      </c>
      <c r="AK19" s="171">
        <v>439.16600000639556</v>
      </c>
      <c r="AL19" s="11">
        <v>439.50300000112674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2" t="str">
        <f>'Ind T4'!A22</f>
        <v>Transport and storage</v>
      </c>
      <c r="M20" s="11">
        <v>108.12299999824837</v>
      </c>
      <c r="N20" s="11">
        <v>104.59800000090009</v>
      </c>
      <c r="O20" s="11">
        <v>104.45399999767096</v>
      </c>
      <c r="P20" s="11">
        <v>102.70000000016375</v>
      </c>
      <c r="Q20" s="11">
        <v>96.391000001029624</v>
      </c>
      <c r="R20" s="11">
        <v>112.92500000019085</v>
      </c>
      <c r="S20" s="11">
        <v>109.57800000122683</v>
      </c>
      <c r="T20" s="11">
        <v>101.10800000049814</v>
      </c>
      <c r="U20" s="11">
        <v>112.20700000089339</v>
      </c>
      <c r="V20" s="11">
        <v>111.56700000009519</v>
      </c>
      <c r="W20" s="11">
        <v>110.01100000134025</v>
      </c>
      <c r="X20" s="11">
        <v>113.38700000071786</v>
      </c>
      <c r="Y20" s="11">
        <v>112.64900000188747</v>
      </c>
      <c r="Z20" s="11">
        <v>112.79500000194294</v>
      </c>
      <c r="AA20" s="11">
        <v>113.26200000192163</v>
      </c>
      <c r="AB20" s="11">
        <v>113.42100000278673</v>
      </c>
      <c r="AC20" s="11">
        <v>113.47000000286488</v>
      </c>
      <c r="AD20" s="11">
        <v>113.50400000221282</v>
      </c>
      <c r="AE20" s="11">
        <v>113.52300000245488</v>
      </c>
      <c r="AF20" s="11">
        <v>113.53700000169282</v>
      </c>
      <c r="AG20" s="11">
        <v>113.57200000193529</v>
      </c>
      <c r="AH20" s="11">
        <v>113.58300000214463</v>
      </c>
      <c r="AI20" s="11">
        <v>113.58600000256155</v>
      </c>
      <c r="AJ20" s="11">
        <v>113.57700000295517</v>
      </c>
      <c r="AK20" s="171">
        <v>113.5640000018508</v>
      </c>
      <c r="AL20" s="11">
        <v>113.54800000141022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2" t="str">
        <f>'Ind T4'!A23</f>
        <v>Accommodation and food</v>
      </c>
      <c r="M21" s="11">
        <v>208.42299999612186</v>
      </c>
      <c r="N21" s="11">
        <v>210.14100000156049</v>
      </c>
      <c r="O21" s="11">
        <v>206.81399999856848</v>
      </c>
      <c r="P21" s="11">
        <v>213.8440000010159</v>
      </c>
      <c r="Q21" s="11">
        <v>238.45300000455759</v>
      </c>
      <c r="R21" s="11">
        <v>216.6420000006521</v>
      </c>
      <c r="S21" s="11">
        <v>237.46000000333373</v>
      </c>
      <c r="T21" s="11">
        <v>262.80300000364565</v>
      </c>
      <c r="U21" s="11">
        <v>279.2910000044609</v>
      </c>
      <c r="V21" s="11">
        <v>260.49800000439967</v>
      </c>
      <c r="W21" s="11">
        <v>251.32700000328433</v>
      </c>
      <c r="X21" s="11">
        <v>241.04199999892421</v>
      </c>
      <c r="Y21" s="11">
        <v>247.33900000559413</v>
      </c>
      <c r="Z21" s="11">
        <v>256.67300000646253</v>
      </c>
      <c r="AA21" s="11">
        <v>264.64400000581378</v>
      </c>
      <c r="AB21" s="11">
        <v>269.92100000893032</v>
      </c>
      <c r="AC21" s="11">
        <v>274.59900000851695</v>
      </c>
      <c r="AD21" s="11">
        <v>278.8540000039913</v>
      </c>
      <c r="AE21" s="11">
        <v>282.84300000374145</v>
      </c>
      <c r="AF21" s="11">
        <v>286.6310000048673</v>
      </c>
      <c r="AG21" s="11">
        <v>290.34900000315508</v>
      </c>
      <c r="AH21" s="11">
        <v>293.87800000509986</v>
      </c>
      <c r="AI21" s="11">
        <v>297.26500000462619</v>
      </c>
      <c r="AJ21" s="11">
        <v>300.47700000432866</v>
      </c>
      <c r="AK21" s="171">
        <v>303.5200000034398</v>
      </c>
      <c r="AL21" s="11">
        <v>306.40099999814913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86">
        <f>SUM(M24:M31)</f>
        <v>730.06900000341636</v>
      </c>
      <c r="N23" s="86">
        <f t="shared" ref="N23:AL23" si="34">SUM(N24:N31)</f>
        <v>724.62799999412186</v>
      </c>
      <c r="O23" s="86">
        <f t="shared" si="34"/>
        <v>722.75700000319159</v>
      </c>
      <c r="P23" s="86">
        <f t="shared" si="34"/>
        <v>737.2289999951962</v>
      </c>
      <c r="Q23" s="86">
        <f t="shared" si="34"/>
        <v>827.32699999331805</v>
      </c>
      <c r="R23" s="86">
        <f t="shared" si="34"/>
        <v>823.46400000028689</v>
      </c>
      <c r="S23" s="86">
        <f t="shared" si="34"/>
        <v>808.14899999406282</v>
      </c>
      <c r="T23" s="86">
        <f t="shared" si="34"/>
        <v>829.55699999637136</v>
      </c>
      <c r="U23" s="86">
        <f t="shared" si="34"/>
        <v>846.12999999695307</v>
      </c>
      <c r="V23" s="86">
        <f t="shared" si="34"/>
        <v>867.41799999604837</v>
      </c>
      <c r="W23" s="86">
        <f t="shared" si="34"/>
        <v>846.59999999271054</v>
      </c>
      <c r="X23" s="86">
        <f t="shared" si="34"/>
        <v>863.46199999460373</v>
      </c>
      <c r="Y23" s="86">
        <f t="shared" si="34"/>
        <v>874.33299999916369</v>
      </c>
      <c r="Z23" s="86">
        <f t="shared" si="34"/>
        <v>884.79599999914888</v>
      </c>
      <c r="AA23" s="86">
        <f t="shared" si="34"/>
        <v>891.08899999938876</v>
      </c>
      <c r="AB23" s="86">
        <f t="shared" si="34"/>
        <v>896.1500000009803</v>
      </c>
      <c r="AC23" s="86">
        <f t="shared" si="34"/>
        <v>901.74599999945667</v>
      </c>
      <c r="AD23" s="86">
        <f t="shared" si="34"/>
        <v>907.32000000820358</v>
      </c>
      <c r="AE23" s="86">
        <f t="shared" si="34"/>
        <v>912.92800000801151</v>
      </c>
      <c r="AF23" s="86">
        <f t="shared" si="34"/>
        <v>918.63300001017512</v>
      </c>
      <c r="AG23" s="86">
        <f t="shared" si="34"/>
        <v>924.7130000120718</v>
      </c>
      <c r="AH23" s="86">
        <f t="shared" si="34"/>
        <v>930.73500000785737</v>
      </c>
      <c r="AI23" s="86">
        <f t="shared" si="34"/>
        <v>936.83500000891331</v>
      </c>
      <c r="AJ23" s="86">
        <f t="shared" si="34"/>
        <v>942.96800000829114</v>
      </c>
      <c r="AK23" s="86">
        <f t="shared" si="34"/>
        <v>949.10400001077608</v>
      </c>
      <c r="AL23" s="86">
        <f t="shared" si="34"/>
        <v>955.25600000029226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2" t="str">
        <f>'Ind T4'!A26</f>
        <v>Media</v>
      </c>
      <c r="M24" s="11">
        <v>14.646000000070638</v>
      </c>
      <c r="N24" s="11">
        <v>24.64399999979047</v>
      </c>
      <c r="O24" s="11">
        <v>23.840000000010146</v>
      </c>
      <c r="P24" s="11">
        <v>14.990999999900437</v>
      </c>
      <c r="Q24" s="11">
        <v>22.275999999741654</v>
      </c>
      <c r="R24" s="11">
        <v>16.059000000106227</v>
      </c>
      <c r="S24" s="11">
        <v>16.873999999907443</v>
      </c>
      <c r="T24" s="11">
        <v>20.268999999901187</v>
      </c>
      <c r="U24" s="11">
        <v>20.379999999977375</v>
      </c>
      <c r="V24" s="11">
        <v>23.416999999887025</v>
      </c>
      <c r="W24" s="11">
        <v>21.507999999811087</v>
      </c>
      <c r="X24" s="11">
        <v>21.233999999861567</v>
      </c>
      <c r="Y24" s="11">
        <v>21.104999999952373</v>
      </c>
      <c r="Z24" s="11">
        <v>20.961999999959524</v>
      </c>
      <c r="AA24" s="11">
        <v>20.85499999997797</v>
      </c>
      <c r="AB24" s="11">
        <v>20.82799999995634</v>
      </c>
      <c r="AC24" s="11">
        <v>20.781999999916376</v>
      </c>
      <c r="AD24" s="11">
        <v>20.730000000277055</v>
      </c>
      <c r="AE24" s="11">
        <v>20.685000000298089</v>
      </c>
      <c r="AF24" s="11">
        <v>20.634000000299576</v>
      </c>
      <c r="AG24" s="11">
        <v>20.576000000363219</v>
      </c>
      <c r="AH24" s="11">
        <v>20.523000000254271</v>
      </c>
      <c r="AI24" s="11">
        <v>20.469000000295679</v>
      </c>
      <c r="AJ24" s="11">
        <v>20.416000000298471</v>
      </c>
      <c r="AK24" s="171">
        <v>20.365000000266804</v>
      </c>
      <c r="AL24" s="11">
        <v>20.314000000065874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2" t="str">
        <f>'Ind T4'!A27</f>
        <v>Information technology</v>
      </c>
      <c r="M25" s="11">
        <v>63.59300000100658</v>
      </c>
      <c r="N25" s="11">
        <v>66.068999998827991</v>
      </c>
      <c r="O25" s="11">
        <v>57.81300000084979</v>
      </c>
      <c r="P25" s="11">
        <v>63.854999999314053</v>
      </c>
      <c r="Q25" s="11">
        <v>65.711999998692505</v>
      </c>
      <c r="R25" s="11">
        <v>75.578999999644935</v>
      </c>
      <c r="S25" s="11">
        <v>80.183999998652141</v>
      </c>
      <c r="T25" s="11">
        <v>85.81499999923021</v>
      </c>
      <c r="U25" s="11">
        <v>84.795999998943273</v>
      </c>
      <c r="V25" s="11">
        <v>69.279999999191404</v>
      </c>
      <c r="W25" s="11">
        <v>67.076999998766766</v>
      </c>
      <c r="X25" s="11">
        <v>68.160999999237191</v>
      </c>
      <c r="Y25" s="11">
        <v>68.571999999526994</v>
      </c>
      <c r="Z25" s="11">
        <v>69.529999999440875</v>
      </c>
      <c r="AA25" s="11">
        <v>70.271999999384363</v>
      </c>
      <c r="AB25" s="11">
        <v>70.876999999444081</v>
      </c>
      <c r="AC25" s="11">
        <v>71.412999999275613</v>
      </c>
      <c r="AD25" s="11">
        <v>71.849999999514509</v>
      </c>
      <c r="AE25" s="11">
        <v>72.257999999265877</v>
      </c>
      <c r="AF25" s="11">
        <v>72.660999999969818</v>
      </c>
      <c r="AG25" s="11">
        <v>73.085999999931985</v>
      </c>
      <c r="AH25" s="11">
        <v>73.504999999501337</v>
      </c>
      <c r="AI25" s="11">
        <v>73.906999999302585</v>
      </c>
      <c r="AJ25" s="11">
        <v>74.282999998924183</v>
      </c>
      <c r="AK25" s="171">
        <v>74.622999999768922</v>
      </c>
      <c r="AL25" s="11">
        <v>74.937999998995338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2" t="str">
        <f>'Ind T4'!A28</f>
        <v>Finance and insurance</v>
      </c>
      <c r="M26" s="11">
        <v>83.664000000292361</v>
      </c>
      <c r="N26" s="11">
        <v>80.249999999135909</v>
      </c>
      <c r="O26" s="11">
        <v>90.235000000323382</v>
      </c>
      <c r="P26" s="11">
        <v>91.947999999265562</v>
      </c>
      <c r="Q26" s="11">
        <v>94.490999998942073</v>
      </c>
      <c r="R26" s="11">
        <v>87.282999999513905</v>
      </c>
      <c r="S26" s="11">
        <v>84.041999999006194</v>
      </c>
      <c r="T26" s="11">
        <v>86.728999999440774</v>
      </c>
      <c r="U26" s="11">
        <v>82.212999999298276</v>
      </c>
      <c r="V26" s="11">
        <v>77.346999999310384</v>
      </c>
      <c r="W26" s="11">
        <v>86.266999998916845</v>
      </c>
      <c r="X26" s="11">
        <v>87.891999999050824</v>
      </c>
      <c r="Y26" s="11">
        <v>87.561999999677653</v>
      </c>
      <c r="Z26" s="11">
        <v>87.169999999601757</v>
      </c>
      <c r="AA26" s="11">
        <v>86.616999999562395</v>
      </c>
      <c r="AB26" s="11">
        <v>86.220000000026459</v>
      </c>
      <c r="AC26" s="11">
        <v>85.920999999763225</v>
      </c>
      <c r="AD26" s="11">
        <v>85.61200000059749</v>
      </c>
      <c r="AE26" s="11">
        <v>85.297000000442509</v>
      </c>
      <c r="AF26" s="11">
        <v>84.974000000936542</v>
      </c>
      <c r="AG26" s="11">
        <v>84.666000001116359</v>
      </c>
      <c r="AH26" s="11">
        <v>84.301000000551198</v>
      </c>
      <c r="AI26" s="11">
        <v>83.937000000610368</v>
      </c>
      <c r="AJ26" s="11">
        <v>83.573000000513872</v>
      </c>
      <c r="AK26" s="171">
        <v>83.211000001296824</v>
      </c>
      <c r="AL26" s="11">
        <v>82.849999999566734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2" t="str">
        <f>'Ind T4'!A29</f>
        <v>Real estate</v>
      </c>
      <c r="M27" s="11">
        <v>41.583000000011559</v>
      </c>
      <c r="N27" s="11">
        <v>36.711999999739234</v>
      </c>
      <c r="O27" s="11">
        <v>44.630999999950959</v>
      </c>
      <c r="P27" s="11">
        <v>51.373999999691456</v>
      </c>
      <c r="Q27" s="11">
        <v>61.413999999622305</v>
      </c>
      <c r="R27" s="11">
        <v>51.210999999881601</v>
      </c>
      <c r="S27" s="11">
        <v>53.959999999717461</v>
      </c>
      <c r="T27" s="11">
        <v>51.497999999943701</v>
      </c>
      <c r="U27" s="11">
        <v>54.152999999995856</v>
      </c>
      <c r="V27" s="11">
        <v>55.55400000008057</v>
      </c>
      <c r="W27" s="11">
        <v>57.623999999695421</v>
      </c>
      <c r="X27" s="11">
        <v>55.939999999648691</v>
      </c>
      <c r="Y27" s="11">
        <v>54.228000000048993</v>
      </c>
      <c r="Z27" s="11">
        <v>52.885000000027873</v>
      </c>
      <c r="AA27" s="11">
        <v>51.953999999997478</v>
      </c>
      <c r="AB27" s="11">
        <v>51.782000000391605</v>
      </c>
      <c r="AC27" s="11">
        <v>51.738000000338936</v>
      </c>
      <c r="AD27" s="11">
        <v>51.756000000336059</v>
      </c>
      <c r="AE27" s="11">
        <v>51.802000000259703</v>
      </c>
      <c r="AF27" s="11">
        <v>51.859000000434527</v>
      </c>
      <c r="AG27" s="11">
        <v>51.915000000429664</v>
      </c>
      <c r="AH27" s="11">
        <v>51.971000000344404</v>
      </c>
      <c r="AI27" s="11">
        <v>52.024000000374777</v>
      </c>
      <c r="AJ27" s="11">
        <v>52.068000000376017</v>
      </c>
      <c r="AK27" s="171">
        <v>52.10200000035303</v>
      </c>
      <c r="AL27" s="11">
        <v>52.122999999801053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2" t="str">
        <f>'Ind T4'!A30</f>
        <v>Professional services</v>
      </c>
      <c r="M28" s="11">
        <v>190.59800000369054</v>
      </c>
      <c r="N28" s="11">
        <v>189.12799999625972</v>
      </c>
      <c r="O28" s="11">
        <v>186.72400000254055</v>
      </c>
      <c r="P28" s="11">
        <v>183.07699999760271</v>
      </c>
      <c r="Q28" s="11">
        <v>213.47499999535924</v>
      </c>
      <c r="R28" s="11">
        <v>235.29199999952164</v>
      </c>
      <c r="S28" s="11">
        <v>219.5989999961549</v>
      </c>
      <c r="T28" s="11">
        <v>223.89199999761385</v>
      </c>
      <c r="U28" s="11">
        <v>226.81199999661087</v>
      </c>
      <c r="V28" s="11">
        <v>262.60599999601573</v>
      </c>
      <c r="W28" s="11">
        <v>256.70799999545989</v>
      </c>
      <c r="X28" s="11">
        <v>262.59599999713652</v>
      </c>
      <c r="Y28" s="11">
        <v>264.46699999768623</v>
      </c>
      <c r="Z28" s="11">
        <v>266.75199999761583</v>
      </c>
      <c r="AA28" s="11">
        <v>269.19099999787778</v>
      </c>
      <c r="AB28" s="11">
        <v>271.1549999974726</v>
      </c>
      <c r="AC28" s="11">
        <v>272.98199999669515</v>
      </c>
      <c r="AD28" s="11">
        <v>274.90200000177026</v>
      </c>
      <c r="AE28" s="11">
        <v>276.90200000164305</v>
      </c>
      <c r="AF28" s="11">
        <v>278.99900000293121</v>
      </c>
      <c r="AG28" s="11">
        <v>281.21700000404309</v>
      </c>
      <c r="AH28" s="11">
        <v>283.41200000149229</v>
      </c>
      <c r="AI28" s="11">
        <v>285.62600000171034</v>
      </c>
      <c r="AJ28" s="11">
        <v>287.8660000011389</v>
      </c>
      <c r="AK28" s="171">
        <v>290.12300000468548</v>
      </c>
      <c r="AL28" s="11">
        <v>292.391999999419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2" t="str">
        <f>'Ind T4'!A31</f>
        <v>Support services</v>
      </c>
      <c r="M29" s="11">
        <v>172.61699999871766</v>
      </c>
      <c r="N29" s="11">
        <v>175.62000000101767</v>
      </c>
      <c r="O29" s="11">
        <v>178.80899999931762</v>
      </c>
      <c r="P29" s="11">
        <v>171.87600000059018</v>
      </c>
      <c r="Q29" s="11">
        <v>205.75500000135037</v>
      </c>
      <c r="R29" s="11">
        <v>200.57000000032986</v>
      </c>
      <c r="S29" s="11">
        <v>194.84100000091246</v>
      </c>
      <c r="T29" s="11">
        <v>209.5810000008</v>
      </c>
      <c r="U29" s="11">
        <v>208.9980000015052</v>
      </c>
      <c r="V29" s="11">
        <v>204.11500000118673</v>
      </c>
      <c r="W29" s="11">
        <v>197.53200000062293</v>
      </c>
      <c r="X29" s="11">
        <v>202.50500000015509</v>
      </c>
      <c r="Y29" s="11">
        <v>208.71300000138478</v>
      </c>
      <c r="Z29" s="11">
        <v>214.28500000143003</v>
      </c>
      <c r="AA29" s="11">
        <v>216.70600000134846</v>
      </c>
      <c r="AB29" s="11">
        <v>218.57200000236836</v>
      </c>
      <c r="AC29" s="11">
        <v>220.65200000240196</v>
      </c>
      <c r="AD29" s="11">
        <v>222.70700000221476</v>
      </c>
      <c r="AE29" s="11">
        <v>224.75900000219497</v>
      </c>
      <c r="AF29" s="11">
        <v>226.81000000195527</v>
      </c>
      <c r="AG29" s="11">
        <v>228.92700000205008</v>
      </c>
      <c r="AH29" s="11">
        <v>230.97100000219379</v>
      </c>
      <c r="AI29" s="11">
        <v>233.020000002573</v>
      </c>
      <c r="AJ29" s="11">
        <v>235.0750000028435</v>
      </c>
      <c r="AK29" s="171">
        <v>237.1350000013484</v>
      </c>
      <c r="AL29" s="11">
        <v>239.20700000090216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2" t="str">
        <f>'Ind T4'!A32</f>
        <v>Arts and entertainment</v>
      </c>
      <c r="M30" s="11">
        <v>85.135000000129935</v>
      </c>
      <c r="N30" s="11">
        <v>81.459999999637546</v>
      </c>
      <c r="O30" s="11">
        <v>73.213000000237244</v>
      </c>
      <c r="P30" s="11">
        <v>73.134999999642574</v>
      </c>
      <c r="Q30" s="11">
        <v>78.227999999917401</v>
      </c>
      <c r="R30" s="11">
        <v>84.31100000094105</v>
      </c>
      <c r="S30" s="11">
        <v>77.774999999892941</v>
      </c>
      <c r="T30" s="11">
        <v>77.589999999858847</v>
      </c>
      <c r="U30" s="11">
        <v>93.573000000237641</v>
      </c>
      <c r="V30" s="11">
        <v>91.036000000024075</v>
      </c>
      <c r="W30" s="11">
        <v>82.259999999820252</v>
      </c>
      <c r="X30" s="11">
        <v>86.193999999894118</v>
      </c>
      <c r="Y30" s="11">
        <v>90.118000000563626</v>
      </c>
      <c r="Z30" s="11">
        <v>93.251000000706298</v>
      </c>
      <c r="AA30" s="11">
        <v>95.114000000861765</v>
      </c>
      <c r="AB30" s="11">
        <v>96.236000000764321</v>
      </c>
      <c r="AC30" s="11">
        <v>97.723000000608934</v>
      </c>
      <c r="AD30" s="11">
        <v>99.158000002210258</v>
      </c>
      <c r="AE30" s="11">
        <v>100.51900000262374</v>
      </c>
      <c r="AF30" s="11">
        <v>101.84700000232243</v>
      </c>
      <c r="AG30" s="11">
        <v>103.27300000278444</v>
      </c>
      <c r="AH30" s="11">
        <v>104.75700000229838</v>
      </c>
      <c r="AI30" s="11">
        <v>106.28400000271311</v>
      </c>
      <c r="AJ30" s="11">
        <v>107.82100000283425</v>
      </c>
      <c r="AK30" s="171">
        <v>109.35900000239664</v>
      </c>
      <c r="AL30" s="11">
        <v>110.89700000135923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2" t="str">
        <f>'Ind T4'!A33</f>
        <v>Other services</v>
      </c>
      <c r="M31" s="11">
        <v>78.23299999949711</v>
      </c>
      <c r="N31" s="11">
        <v>70.744999999713144</v>
      </c>
      <c r="O31" s="11">
        <v>67.491999999962019</v>
      </c>
      <c r="P31" s="11">
        <v>86.972999999189256</v>
      </c>
      <c r="Q31" s="11">
        <v>85.975999999692434</v>
      </c>
      <c r="R31" s="11">
        <v>73.15900000034776</v>
      </c>
      <c r="S31" s="11">
        <v>80.873999999819404</v>
      </c>
      <c r="T31" s="11">
        <v>74.182999999582762</v>
      </c>
      <c r="U31" s="11">
        <v>75.20500000038443</v>
      </c>
      <c r="V31" s="11">
        <v>84.063000000352474</v>
      </c>
      <c r="W31" s="11">
        <v>77.623999999617325</v>
      </c>
      <c r="X31" s="11">
        <v>78.939999999619786</v>
      </c>
      <c r="Y31" s="11">
        <v>79.568000000323082</v>
      </c>
      <c r="Z31" s="11">
        <v>79.961000000366667</v>
      </c>
      <c r="AA31" s="11">
        <v>80.380000000378587</v>
      </c>
      <c r="AB31" s="11">
        <v>80.480000000556501</v>
      </c>
      <c r="AC31" s="11">
        <v>80.535000000456492</v>
      </c>
      <c r="AD31" s="11">
        <v>80.605000001283301</v>
      </c>
      <c r="AE31" s="11">
        <v>80.706000001283556</v>
      </c>
      <c r="AF31" s="11">
        <v>80.84900000132582</v>
      </c>
      <c r="AG31" s="11">
        <v>81.053000001352956</v>
      </c>
      <c r="AH31" s="11">
        <v>81.295000001221752</v>
      </c>
      <c r="AI31" s="11">
        <v>81.568000001333473</v>
      </c>
      <c r="AJ31" s="11">
        <v>81.866000001362053</v>
      </c>
      <c r="AK31" s="171">
        <v>82.186000000660002</v>
      </c>
      <c r="AL31" s="11">
        <v>82.535000000182862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86">
        <f>SUM(M34:M36)</f>
        <v>695.71300001609006</v>
      </c>
      <c r="N33" s="86">
        <f t="shared" ref="N33:P33" si="35">SUM(N34:N36)</f>
        <v>702.28099999977462</v>
      </c>
      <c r="O33" s="86">
        <f t="shared" si="35"/>
        <v>701.61300001574114</v>
      </c>
      <c r="P33" s="86">
        <f t="shared" si="35"/>
        <v>729.5590000050538</v>
      </c>
      <c r="Q33" s="86">
        <f>SUM(Q34:Q36)</f>
        <v>726.20399998710548</v>
      </c>
      <c r="R33" s="86">
        <f t="shared" ref="R33" si="36">SUM(R34:R36)</f>
        <v>733.97999999676074</v>
      </c>
      <c r="S33" s="86">
        <f t="shared" ref="S33" si="37">SUM(S34:S36)</f>
        <v>726.22299999224788</v>
      </c>
      <c r="T33" s="86">
        <f t="shared" ref="T33" si="38">SUM(T34:T36)</f>
        <v>728.43699998711759</v>
      </c>
      <c r="U33" s="86">
        <f t="shared" ref="U33" si="39">SUM(U34:U36)</f>
        <v>732.32399998465576</v>
      </c>
      <c r="V33" s="86">
        <f t="shared" ref="V33" si="40">SUM(V34:V36)</f>
        <v>745.36999998835552</v>
      </c>
      <c r="W33" s="86">
        <f t="shared" ref="W33" si="41">SUM(W34:W36)</f>
        <v>726.15999999232395</v>
      </c>
      <c r="X33" s="86">
        <f t="shared" ref="X33" si="42">SUM(X34:X36)</f>
        <v>736.63800001009633</v>
      </c>
      <c r="Y33" s="86">
        <f t="shared" ref="Y33" si="43">SUM(Y34:Y36)</f>
        <v>746.64399998289991</v>
      </c>
      <c r="Z33" s="86">
        <f t="shared" ref="Z33" si="44">SUM(Z34:Z36)</f>
        <v>754.89599998045196</v>
      </c>
      <c r="AA33" s="86">
        <f t="shared" ref="AA33" si="45">SUM(AA34:AA36)</f>
        <v>764.70599998241573</v>
      </c>
      <c r="AB33" s="86">
        <f t="shared" ref="AB33" si="46">SUM(AB34:AB36)</f>
        <v>772.8249999697241</v>
      </c>
      <c r="AC33" s="86">
        <f t="shared" ref="AC33" si="47">SUM(AC34:AC36)</f>
        <v>779.77399997227803</v>
      </c>
      <c r="AD33" s="86">
        <f t="shared" ref="AD33" si="48">SUM(AD34:AD36)</f>
        <v>786.61999997584621</v>
      </c>
      <c r="AE33" s="86">
        <f t="shared" ref="AE33" si="49">SUM(AE34:AE36)</f>
        <v>793.45499997636307</v>
      </c>
      <c r="AF33" s="86">
        <f t="shared" ref="AF33" si="50">SUM(AF34:AF36)</f>
        <v>800.35899997542913</v>
      </c>
      <c r="AG33" s="86">
        <f t="shared" ref="AG33:AL33" si="51">SUM(AG34:AG36)</f>
        <v>807.48099997723864</v>
      </c>
      <c r="AH33" s="86">
        <f t="shared" si="51"/>
        <v>814.5619999732163</v>
      </c>
      <c r="AI33" s="86">
        <f t="shared" si="51"/>
        <v>821.63699997152435</v>
      </c>
      <c r="AJ33" s="86">
        <f t="shared" si="51"/>
        <v>828.71499996853709</v>
      </c>
      <c r="AK33" s="86">
        <f t="shared" si="51"/>
        <v>835.81799997552991</v>
      </c>
      <c r="AL33" s="86">
        <f t="shared" si="51"/>
        <v>842.91999999948939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2" t="str">
        <f>'Ind T4'!A36</f>
        <v>Public admin. and defence</v>
      </c>
      <c r="M34" s="11">
        <v>117.35300000137559</v>
      </c>
      <c r="N34" s="11">
        <v>110.26199999907986</v>
      </c>
      <c r="O34" s="11">
        <v>103.37100000062512</v>
      </c>
      <c r="P34" s="11">
        <v>104.87799999947228</v>
      </c>
      <c r="Q34" s="11">
        <v>104.01199999856395</v>
      </c>
      <c r="R34" s="11">
        <v>100.1109999998435</v>
      </c>
      <c r="S34" s="11">
        <v>99.285999998912558</v>
      </c>
      <c r="T34" s="11">
        <v>99.157999999285948</v>
      </c>
      <c r="U34" s="11">
        <v>101.75399999911227</v>
      </c>
      <c r="V34" s="11">
        <v>102.72299999914765</v>
      </c>
      <c r="W34" s="11">
        <v>108.89599999894065</v>
      </c>
      <c r="X34" s="11">
        <v>110.293999999598</v>
      </c>
      <c r="Y34" s="11">
        <v>112.49899999902681</v>
      </c>
      <c r="Z34" s="11">
        <v>113.28399999897091</v>
      </c>
      <c r="AA34" s="11">
        <v>114.35299999905854</v>
      </c>
      <c r="AB34" s="11">
        <v>114.74699999841178</v>
      </c>
      <c r="AC34" s="11">
        <v>114.99899999829378</v>
      </c>
      <c r="AD34" s="11">
        <v>115.26399999950996</v>
      </c>
      <c r="AE34" s="11">
        <v>115.52399999945338</v>
      </c>
      <c r="AF34" s="11">
        <v>115.78099999964557</v>
      </c>
      <c r="AG34" s="11">
        <v>116.03699999988595</v>
      </c>
      <c r="AH34" s="11">
        <v>116.26899999937669</v>
      </c>
      <c r="AI34" s="11">
        <v>116.49199999929137</v>
      </c>
      <c r="AJ34" s="11">
        <v>116.70099999907994</v>
      </c>
      <c r="AK34" s="171">
        <v>116.89899999988261</v>
      </c>
      <c r="AL34" s="11">
        <v>117.07899999978541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2" t="str">
        <f>'Ind T4'!A37</f>
        <v>Education</v>
      </c>
      <c r="M35" s="11">
        <v>236.46900000825809</v>
      </c>
      <c r="N35" s="11">
        <v>243.9390000001107</v>
      </c>
      <c r="O35" s="11">
        <v>242.7840000086527</v>
      </c>
      <c r="P35" s="11">
        <v>239.14500000276658</v>
      </c>
      <c r="Q35" s="11">
        <v>232.60899999331232</v>
      </c>
      <c r="R35" s="11">
        <v>240.68400000146443</v>
      </c>
      <c r="S35" s="11">
        <v>256.38899999576762</v>
      </c>
      <c r="T35" s="11">
        <v>253.80099999061116</v>
      </c>
      <c r="U35" s="11">
        <v>249.33499999189488</v>
      </c>
      <c r="V35" s="11">
        <v>251.84399999475124</v>
      </c>
      <c r="W35" s="11">
        <v>241.88599999586123</v>
      </c>
      <c r="X35" s="11">
        <v>242.27300000711622</v>
      </c>
      <c r="Y35" s="11">
        <v>242.8639999877748</v>
      </c>
      <c r="Z35" s="11">
        <v>243.98499998655427</v>
      </c>
      <c r="AA35" s="11">
        <v>245.37999998809343</v>
      </c>
      <c r="AB35" s="11">
        <v>246.96599997720921</v>
      </c>
      <c r="AC35" s="11">
        <v>248.18099997892523</v>
      </c>
      <c r="AD35" s="11">
        <v>249.43699998586249</v>
      </c>
      <c r="AE35" s="11">
        <v>250.72299998721329</v>
      </c>
      <c r="AF35" s="11">
        <v>252.06399998598351</v>
      </c>
      <c r="AG35" s="11">
        <v>253.61199998725925</v>
      </c>
      <c r="AH35" s="11">
        <v>255.14199998533357</v>
      </c>
      <c r="AI35" s="11">
        <v>256.65599998470026</v>
      </c>
      <c r="AJ35" s="11">
        <v>258.15099998376894</v>
      </c>
      <c r="AK35" s="171">
        <v>259.63099998572665</v>
      </c>
      <c r="AL35" s="11">
        <v>261.08100000144287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2" t="str">
        <f>'Ind T4'!A38</f>
        <v>Health and social work</v>
      </c>
      <c r="M36" s="11">
        <v>341.89100000645641</v>
      </c>
      <c r="N36" s="11">
        <v>348.08000000058405</v>
      </c>
      <c r="O36" s="11">
        <v>355.45800000646335</v>
      </c>
      <c r="P36" s="11">
        <v>385.53600000281494</v>
      </c>
      <c r="Q36" s="11">
        <v>389.58299999522922</v>
      </c>
      <c r="R36" s="11">
        <v>393.18499999545281</v>
      </c>
      <c r="S36" s="11">
        <v>370.54799999756762</v>
      </c>
      <c r="T36" s="11">
        <v>375.47799999722054</v>
      </c>
      <c r="U36" s="11">
        <v>381.23499999364861</v>
      </c>
      <c r="V36" s="11">
        <v>390.80299999445663</v>
      </c>
      <c r="W36" s="11">
        <v>375.37799999752212</v>
      </c>
      <c r="X36" s="11">
        <v>384.0710000033821</v>
      </c>
      <c r="Y36" s="11">
        <v>391.28099999609827</v>
      </c>
      <c r="Z36" s="11">
        <v>397.62699999492673</v>
      </c>
      <c r="AA36" s="11">
        <v>404.97299999526371</v>
      </c>
      <c r="AB36" s="11">
        <v>411.11199999410309</v>
      </c>
      <c r="AC36" s="11">
        <v>416.59399999505894</v>
      </c>
      <c r="AD36" s="11">
        <v>421.91899999047376</v>
      </c>
      <c r="AE36" s="11">
        <v>427.20799998969648</v>
      </c>
      <c r="AF36" s="11">
        <v>432.51399998980003</v>
      </c>
      <c r="AG36" s="11">
        <v>437.83199999009344</v>
      </c>
      <c r="AH36" s="11">
        <v>443.15099998850604</v>
      </c>
      <c r="AI36" s="11">
        <v>448.48899998753274</v>
      </c>
      <c r="AJ36" s="11">
        <v>453.86299998568825</v>
      </c>
      <c r="AK36" s="171">
        <v>459.28799998992065</v>
      </c>
      <c r="AL36" s="11">
        <v>464.75999999826109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86">
        <f>SUM(M5,M11,M16,M18,M23,M33)</f>
        <v>2674.7190000014193</v>
      </c>
      <c r="N38" s="86">
        <f t="shared" ref="N38:P38" si="52">SUM(N5,N11,N16,N18,N23,N33)</f>
        <v>2659.8520000005337</v>
      </c>
      <c r="O38" s="86">
        <f t="shared" si="52"/>
        <v>2671.8160000018324</v>
      </c>
      <c r="P38" s="86">
        <f t="shared" si="52"/>
        <v>2717.612000000302</v>
      </c>
      <c r="Q38" s="86">
        <f>SUM(Q5,Q11,Q16,Q18,Q23,Q33)</f>
        <v>2823.3819999979041</v>
      </c>
      <c r="R38" s="86">
        <f t="shared" ref="R38:AL38" si="53">SUM(R5,R11,R16,R18,R23,R33)</f>
        <v>2817.851999997114</v>
      </c>
      <c r="S38" s="86">
        <f t="shared" si="53"/>
        <v>2861.4899999988265</v>
      </c>
      <c r="T38" s="86">
        <f t="shared" si="53"/>
        <v>2900.1459999989693</v>
      </c>
      <c r="U38" s="86">
        <f t="shared" si="53"/>
        <v>2935.2119999998686</v>
      </c>
      <c r="V38" s="86">
        <f t="shared" si="53"/>
        <v>2962.1069999996521</v>
      </c>
      <c r="W38" s="86">
        <f t="shared" si="53"/>
        <v>2929.5869999964652</v>
      </c>
      <c r="X38" s="86">
        <f t="shared" si="53"/>
        <v>2946.4319999982213</v>
      </c>
      <c r="Y38" s="86">
        <f t="shared" si="53"/>
        <v>2973.9249999947428</v>
      </c>
      <c r="Z38" s="86">
        <f t="shared" si="53"/>
        <v>3008.1619999939021</v>
      </c>
      <c r="AA38" s="86">
        <f t="shared" si="53"/>
        <v>3038.2909999936837</v>
      </c>
      <c r="AB38" s="86">
        <f t="shared" si="53"/>
        <v>3058.654999994335</v>
      </c>
      <c r="AC38" s="86">
        <f t="shared" si="53"/>
        <v>3077.506999994509</v>
      </c>
      <c r="AD38" s="86">
        <f>SUM(AD5,AD11,AD16,AD18,AD23,AD33)</f>
        <v>3095.0959999952929</v>
      </c>
      <c r="AE38" s="86">
        <f t="shared" si="53"/>
        <v>3112.6009999939633</v>
      </c>
      <c r="AF38" s="86">
        <f t="shared" si="53"/>
        <v>3129.9759999949179</v>
      </c>
      <c r="AG38" s="86">
        <f t="shared" si="53"/>
        <v>3148.5929999946757</v>
      </c>
      <c r="AH38" s="86">
        <f t="shared" si="53"/>
        <v>3166.8619999947241</v>
      </c>
      <c r="AI38" s="86">
        <f t="shared" si="53"/>
        <v>3185.1419999944992</v>
      </c>
      <c r="AJ38" s="86">
        <f t="shared" si="53"/>
        <v>3203.5419999948185</v>
      </c>
      <c r="AK38" s="86">
        <f t="shared" si="53"/>
        <v>3221.8109999927151</v>
      </c>
      <c r="AL38" s="86">
        <f t="shared" si="53"/>
        <v>3240.0929999972936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79" t="str">
        <f>CONCATENATE("Industry Figure 2.1  Change in Employment in ",$L$5,", ",$M$2,"-",$O$2,", ",Info!B5)</f>
        <v>Industry Figure 2.1  Change in Employment in Primary sector and utilities, 2010-2035, South West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79" t="str">
        <f>CONCATENATE("Industry Figure 2.2  Change in Employment in ",$L$11,", ",$M$2,"-",$O$2,", ",Info!B5)</f>
        <v>Industry Figure 2.2  Change in Employment in Manufacturing, 2010-2035, South West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79" t="str">
        <f>CONCATENATE("Industry Figure 2.3  Change in Employment in ",$L$16,", ",$M$2,"-",$O$2,", ",Info!B5)</f>
        <v>Industry Figure 2.3  Change in Employment in Construction, 2010-2035, South West</v>
      </c>
    </row>
    <row r="137" spans="1:1" ht="15.75" x14ac:dyDescent="0.25">
      <c r="A137" s="79" t="str">
        <f>CONCATENATE("Industry Figure 2.4  Change in Employment in ",$L$18,", ",$M$2,"-",$O$2,", ",Info!B5)</f>
        <v>Industry Figure 2.4  Change in Employment in Trade, accomod. and transport, 2010-2035, South West</v>
      </c>
    </row>
    <row r="167" spans="1:1" ht="15.75" x14ac:dyDescent="0.25">
      <c r="A167" s="79" t="str">
        <f>CONCATENATE("Industry Figure 2.5  Change in Employment in ",$L$23,", ",$M$2,"- ",$O$2,", ",Info!B5)</f>
        <v>Industry Figure 2.5  Change in Employment in Business and other services, 2010- 2035, South West</v>
      </c>
    </row>
    <row r="197" spans="1:1" ht="15.75" x14ac:dyDescent="0.25">
      <c r="A197" s="79" t="str">
        <f>CONCATENATE("Industry Figure 2.6  Change in Employment in ",$L$33,", ",$M$2,"-",$O$2,", ",Info!B5)</f>
        <v>Industry Figure 2.6  Change in Employment in Non-marketed services, 2010-2035, South West</v>
      </c>
    </row>
    <row r="227" spans="1:15" ht="15.75" x14ac:dyDescent="0.25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South West</v>
      </c>
      <c r="L227" s="45" t="s">
        <v>440</v>
      </c>
    </row>
    <row r="228" spans="1:15" x14ac:dyDescent="0.2">
      <c r="L228" s="29" t="s">
        <v>421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39">
        <f>'Ind T1'!B25</f>
        <v>26.047500010558128</v>
      </c>
      <c r="N231" s="39">
        <f>'Ind T1'!D25</f>
        <v>24.787111630178593</v>
      </c>
      <c r="O231" s="39">
        <f>'Ind T1'!F25</f>
        <v>26.01530264718307</v>
      </c>
    </row>
    <row r="232" spans="1:15" x14ac:dyDescent="0.2">
      <c r="L232" t="str">
        <f>L23</f>
        <v>Business and other services</v>
      </c>
      <c r="M232" s="39">
        <f>'Ind T1'!B24</f>
        <v>29.223110369214929</v>
      </c>
      <c r="N232" s="39">
        <f>'Ind T1'!D24</f>
        <v>28.898271326085617</v>
      </c>
      <c r="O232" s="39">
        <f>'Ind T1'!F24</f>
        <v>29.48236362354692</v>
      </c>
    </row>
    <row r="233" spans="1:15" x14ac:dyDescent="0.2">
      <c r="L233" t="str">
        <f>L18</f>
        <v>Trade, accomod. and transport</v>
      </c>
      <c r="M233" s="39">
        <f>'Ind T1'!B23</f>
        <v>26.845164331005517</v>
      </c>
      <c r="N233" s="39">
        <f>'Ind T1'!D23</f>
        <v>27.177448562309287</v>
      </c>
      <c r="O233" s="39">
        <f>'Ind T1'!F23</f>
        <v>26.525534915244837</v>
      </c>
    </row>
    <row r="234" spans="1:15" x14ac:dyDescent="0.2">
      <c r="L234" t="str">
        <f>L16</f>
        <v>Construction</v>
      </c>
      <c r="M234" s="39">
        <f>'Ind T1'!B22</f>
        <v>6.9749227424650453</v>
      </c>
      <c r="N234" s="39">
        <f>'Ind T1'!D22</f>
        <v>7.6644591882473927</v>
      </c>
      <c r="O234" s="39">
        <f>'Ind T1'!F22</f>
        <v>8.3240511922535596</v>
      </c>
    </row>
    <row r="235" spans="1:15" x14ac:dyDescent="0.2">
      <c r="L235" t="str">
        <f>L11</f>
        <v>Manufacturing</v>
      </c>
      <c r="M235" s="39">
        <f>'Ind T1'!B21</f>
        <v>8.0860527806245148</v>
      </c>
      <c r="N235" s="39">
        <f>'Ind T1'!D21</f>
        <v>8.1069789018247302</v>
      </c>
      <c r="O235" s="39">
        <f>'Ind T1'!F21</f>
        <v>6.4824373868666365</v>
      </c>
    </row>
    <row r="236" spans="1:15" x14ac:dyDescent="0.2">
      <c r="L236" t="str">
        <f>L5</f>
        <v>Primary sector and utilities</v>
      </c>
      <c r="M236" s="39">
        <f>'Ind T1'!B20</f>
        <v>2.8232497661318554</v>
      </c>
      <c r="N236" s="39">
        <f>'Ind T1'!D20</f>
        <v>3.3657303913543686</v>
      </c>
      <c r="O236" s="39">
        <f>'Ind T1'!F20</f>
        <v>3.1703102349049694</v>
      </c>
    </row>
    <row r="257" spans="1:16" ht="15.75" x14ac:dyDescent="0.25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South West</v>
      </c>
      <c r="L257" s="45" t="s">
        <v>441</v>
      </c>
    </row>
    <row r="258" spans="1:16" x14ac:dyDescent="0.2">
      <c r="L258" s="29" t="s">
        <v>420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54">L231</f>
        <v>Non-marketed services</v>
      </c>
      <c r="N261" s="11">
        <f>'Ind T1'!D12-'Ind T1'!B12</f>
        <v>-7.8200000044366789</v>
      </c>
      <c r="O261" s="11">
        <f>'Ind T1'!F50</f>
        <v>116.76000000716522</v>
      </c>
      <c r="P261" s="11"/>
    </row>
    <row r="262" spans="1:16" x14ac:dyDescent="0.2">
      <c r="L262" t="str">
        <f t="shared" si="54"/>
        <v>Business and other services</v>
      </c>
      <c r="N262" s="11">
        <f>'Ind T1'!D11-'Ind T1'!B11</f>
        <v>23.135999992423649</v>
      </c>
      <c r="O262" s="11">
        <f>'Ind T1'!F49</f>
        <v>108.65600000758161</v>
      </c>
      <c r="P262" s="11"/>
    </row>
    <row r="263" spans="1:16" x14ac:dyDescent="0.2">
      <c r="L263" t="str">
        <f t="shared" si="54"/>
        <v>Trade, accomod. and transport</v>
      </c>
      <c r="N263" s="11">
        <f>'Ind T1'!D10-'Ind T1'!B10</f>
        <v>39.730000008388288</v>
      </c>
      <c r="O263" s="11">
        <f>'Ind T1'!F48</f>
        <v>63.264999988546833</v>
      </c>
      <c r="P263" s="11"/>
    </row>
    <row r="264" spans="1:16" x14ac:dyDescent="0.2">
      <c r="L264" t="str">
        <f t="shared" si="54"/>
        <v>Construction</v>
      </c>
      <c r="N264" s="11">
        <f>'Ind T1'!D9-'Ind T1'!B9</f>
        <v>27.994000002125432</v>
      </c>
      <c r="O264" s="11">
        <f>'Ind T1'!F47</f>
        <v>45.169999997468608</v>
      </c>
      <c r="P264" s="11"/>
    </row>
    <row r="265" spans="1:16" x14ac:dyDescent="0.2">
      <c r="L265" t="str">
        <f t="shared" si="54"/>
        <v>Manufacturing</v>
      </c>
      <c r="N265" s="11">
        <f>'Ind T1'!D8-'Ind T1'!B8</f>
        <v>9.6480000006633304</v>
      </c>
      <c r="O265" s="11">
        <f>'Ind T1'!F46</f>
        <v>-27.463999999240144</v>
      </c>
      <c r="P265" s="11"/>
    </row>
    <row r="266" spans="1:16" x14ac:dyDescent="0.2">
      <c r="L266" t="str">
        <f t="shared" si="54"/>
        <v>Primary sector and utilities</v>
      </c>
      <c r="N266" s="11">
        <f>'Ind T1'!D7-'Ind T1'!B7</f>
        <v>19.047000000187424</v>
      </c>
      <c r="O266" s="11">
        <f>'Ind T1'!F45</f>
        <v>4.1189999993059274</v>
      </c>
    </row>
    <row r="268" spans="1:16" x14ac:dyDescent="0.2">
      <c r="L268" t="str">
        <f>L38</f>
        <v>All industries</v>
      </c>
      <c r="N268" s="11">
        <f>'Ind T1'!D14-'Ind T1'!B14</f>
        <v>111.73499999935166</v>
      </c>
      <c r="O268" s="11">
        <f>SUM(O261:O266)</f>
        <v>310.50600000082801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75" x14ac:dyDescent="0.2"/>
  <cols>
    <col min="1" max="1" width="38.42578125" customWidth="1"/>
    <col min="2" max="12" width="7.2851562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8" t="str">
        <f>CONCATENATE("Industry and Occupation Table 1  Occuptation composition (SOC2020) by gender, ",B$6,"-",J$6,", ",Info!B5)</f>
        <v>Industry and Occupation Table 1  Occuptation composition (SOC2020) by gender, 2015-2035, South 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535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2">
        <v>2015</v>
      </c>
      <c r="C6" s="373"/>
      <c r="D6" s="373"/>
      <c r="E6" s="246"/>
      <c r="F6" s="372">
        <v>2020</v>
      </c>
      <c r="G6" s="372"/>
      <c r="H6" s="372"/>
      <c r="I6" s="246"/>
      <c r="J6" s="372">
        <v>2035</v>
      </c>
      <c r="K6" s="372"/>
      <c r="L6" s="372"/>
      <c r="M6" s="236"/>
      <c r="N6" s="236"/>
    </row>
    <row r="7" spans="1:14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90.242017446004198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191.47594291485225</v>
      </c>
      <c r="D9" s="249">
        <f>SUM(B9:C9)</f>
        <v>281.71796036085647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121.4969411448174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215.17471692805634</v>
      </c>
      <c r="H9" s="249">
        <f>SUM(F9:G9)</f>
        <v>336.67165807287375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148.99205883936605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245.15707027255831</v>
      </c>
      <c r="L9" s="249">
        <f>SUM(J9:K9)</f>
        <v>394.14912911192437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260.64492416618026</v>
      </c>
      <c r="C10" s="249">
        <f t="shared" si="0"/>
        <v>295.17830645494962</v>
      </c>
      <c r="D10" s="249">
        <f t="shared" ref="D10:D17" si="1">SUM(B10:C10)</f>
        <v>555.82323062112982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319.88398464260757</v>
      </c>
      <c r="G10" s="249">
        <f t="shared" si="2"/>
        <v>333.38023289646486</v>
      </c>
      <c r="H10" s="249">
        <f t="shared" ref="H10:H17" si="3">SUM(F10:G10)</f>
        <v>653.26421753907243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408.35256668931095</v>
      </c>
      <c r="K10" s="249">
        <f t="shared" si="4"/>
        <v>401.98278321750041</v>
      </c>
      <c r="L10" s="249">
        <f t="shared" ref="L10:L17" si="5">SUM(J10:K10)</f>
        <v>810.33534990681142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156.96413524239802</v>
      </c>
      <c r="C11" s="249">
        <f t="shared" si="6"/>
        <v>175.23675018487663</v>
      </c>
      <c r="D11" s="249">
        <f t="shared" si="1"/>
        <v>332.20088542727467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185.59942461581758</v>
      </c>
      <c r="G11" s="249">
        <f t="shared" si="7"/>
        <v>190.14991574668758</v>
      </c>
      <c r="H11" s="249">
        <f t="shared" si="3"/>
        <v>375.74934036250517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222.07140156943487</v>
      </c>
      <c r="K11" s="249">
        <f t="shared" si="8"/>
        <v>189.53789158201326</v>
      </c>
      <c r="L11" s="249">
        <f t="shared" si="5"/>
        <v>411.60929315144813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222.81189164116145</v>
      </c>
      <c r="C12" s="249">
        <f t="shared" si="9"/>
        <v>67.416262462639864</v>
      </c>
      <c r="D12" s="249">
        <f t="shared" si="1"/>
        <v>290.22815410380133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223.03148236452438</v>
      </c>
      <c r="G12" s="249">
        <f t="shared" si="10"/>
        <v>71.309417556879822</v>
      </c>
      <c r="H12" s="249">
        <f t="shared" si="3"/>
        <v>294.34089992140423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187.34263884857705</v>
      </c>
      <c r="K12" s="249">
        <f t="shared" si="11"/>
        <v>74.287193683110019</v>
      </c>
      <c r="L12" s="249">
        <f t="shared" si="5"/>
        <v>261.62983253168704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31.594360726827428</v>
      </c>
      <c r="C13" s="249">
        <f t="shared" si="12"/>
        <v>300.34926880537574</v>
      </c>
      <c r="D13" s="249">
        <f t="shared" si="1"/>
        <v>331.94362953220315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36.130148866720063</v>
      </c>
      <c r="G13" s="249">
        <f t="shared" si="13"/>
        <v>261.88303606683485</v>
      </c>
      <c r="H13" s="249">
        <f t="shared" si="3"/>
        <v>298.0131849335549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45.850097820561487</v>
      </c>
      <c r="K13" s="249">
        <f t="shared" si="14"/>
        <v>260.64074729702537</v>
      </c>
      <c r="L13" s="249">
        <f t="shared" si="5"/>
        <v>306.49084511758684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248.7603593180373</v>
      </c>
      <c r="C14" s="249">
        <f t="shared" si="15"/>
        <v>41.310348540656165</v>
      </c>
      <c r="D14" s="249">
        <f t="shared" si="1"/>
        <v>290.07070785869348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234.44806935435318</v>
      </c>
      <c r="G14" s="249">
        <f t="shared" si="16"/>
        <v>42.637262998409426</v>
      </c>
      <c r="H14" s="249">
        <f t="shared" si="3"/>
        <v>277.08533235276263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278.42104618406773</v>
      </c>
      <c r="K14" s="249">
        <f t="shared" si="17"/>
        <v>57.646608621921899</v>
      </c>
      <c r="L14" s="249">
        <f t="shared" si="5"/>
        <v>336.0676548059896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159.93481496484327</v>
      </c>
      <c r="C15" s="249">
        <f t="shared" si="18"/>
        <v>96.90549873797886</v>
      </c>
      <c r="D15" s="249">
        <f t="shared" si="1"/>
        <v>256.84031370282213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156.04033069560322</v>
      </c>
      <c r="G15" s="249">
        <f t="shared" si="19"/>
        <v>97.38921869463762</v>
      </c>
      <c r="H15" s="249">
        <f t="shared" si="3"/>
        <v>253.42954939024082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150.54608341267718</v>
      </c>
      <c r="K15" s="249">
        <f t="shared" si="20"/>
        <v>103.90146183607986</v>
      </c>
      <c r="L15" s="249">
        <f t="shared" si="5"/>
        <v>254.44754524875702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21.621622892012891</v>
      </c>
      <c r="C16" s="249">
        <f t="shared" si="21"/>
        <v>137.87786954293156</v>
      </c>
      <c r="D16" s="249">
        <f t="shared" si="1"/>
        <v>159.49949243494444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20.873183214881415</v>
      </c>
      <c r="G16" s="249">
        <f t="shared" si="22"/>
        <v>123.86257879413586</v>
      </c>
      <c r="H16" s="249">
        <f t="shared" si="3"/>
        <v>144.73576200901726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31.250275366090573</v>
      </c>
      <c r="K16" s="249">
        <f t="shared" si="23"/>
        <v>134.25549969599183</v>
      </c>
      <c r="L16" s="249">
        <f t="shared" si="5"/>
        <v>165.50577506208239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146.14987360031463</v>
      </c>
      <c r="C17" s="249">
        <f t="shared" si="24"/>
        <v>173.37775235507357</v>
      </c>
      <c r="D17" s="249">
        <f t="shared" si="1"/>
        <v>319.5276259553882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140.54443509876137</v>
      </c>
      <c r="G17" s="249">
        <f t="shared" si="25"/>
        <v>155.7526203162729</v>
      </c>
      <c r="H17" s="249">
        <f t="shared" si="3"/>
        <v>296.29705541503427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143.2688312707235</v>
      </c>
      <c r="K17" s="249">
        <f t="shared" si="26"/>
        <v>156.58874379028251</v>
      </c>
      <c r="L17" s="249">
        <f t="shared" si="5"/>
        <v>299.857575061006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32</v>
      </c>
      <c r="B19" s="247">
        <f>SUM(B9:B17)</f>
        <v>1338.7239999977794</v>
      </c>
      <c r="C19" s="247">
        <f t="shared" ref="C19:L19" si="27">SUM(C9:C17)</f>
        <v>1479.1279999993344</v>
      </c>
      <c r="D19" s="247">
        <f t="shared" si="27"/>
        <v>2817.851999997114</v>
      </c>
      <c r="E19" s="247"/>
      <c r="F19" s="247">
        <f t="shared" si="27"/>
        <v>1438.0479999980862</v>
      </c>
      <c r="G19" s="247">
        <f t="shared" si="27"/>
        <v>1491.538999998379</v>
      </c>
      <c r="H19" s="247">
        <f t="shared" si="27"/>
        <v>2929.5869999964657</v>
      </c>
      <c r="I19" s="247"/>
      <c r="J19" s="247">
        <f t="shared" si="27"/>
        <v>1616.0950000008095</v>
      </c>
      <c r="K19" s="247">
        <f t="shared" si="27"/>
        <v>1623.9979999964833</v>
      </c>
      <c r="L19" s="247">
        <f t="shared" si="27"/>
        <v>3240.0929999972927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name!A4</f>
        <v>Agriculture, etc</v>
      </c>
      <c r="B23" s="372">
        <f>B$6</f>
        <v>2015</v>
      </c>
      <c r="C23" s="372"/>
      <c r="D23" s="372"/>
      <c r="E23" s="253"/>
      <c r="F23" s="372">
        <f>F$6</f>
        <v>2020</v>
      </c>
      <c r="G23" s="372"/>
      <c r="H23" s="372"/>
      <c r="I23" s="253"/>
      <c r="J23" s="372">
        <f>J$6</f>
        <v>2035</v>
      </c>
      <c r="K23" s="372"/>
      <c r="L23" s="372"/>
      <c r="M23" s="236"/>
      <c r="N23" s="236"/>
    </row>
    <row r="24" spans="1:14" x14ac:dyDescent="0.2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0.40721684829607474</v>
      </c>
      <c r="C26" s="302">
        <v>2.1309313744942098</v>
      </c>
      <c r="D26" s="302">
        <f>SUM(B26:C26)</f>
        <v>2.5381482227902845</v>
      </c>
      <c r="E26" s="303"/>
      <c r="F26" s="302">
        <v>0.6568591184243544</v>
      </c>
      <c r="G26" s="302">
        <v>3.0245637413444584</v>
      </c>
      <c r="H26" s="302">
        <f>SUM(F26:G26)</f>
        <v>3.681422859768813</v>
      </c>
      <c r="I26" s="303"/>
      <c r="J26" s="302">
        <v>0.6523700862896592</v>
      </c>
      <c r="K26" s="302">
        <v>4.3357727765407734</v>
      </c>
      <c r="L26" s="302">
        <f>SUM(J26:K26)</f>
        <v>4.9881428628304327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0.78066057369181574</v>
      </c>
      <c r="C27" s="302">
        <v>1.1569288825642625</v>
      </c>
      <c r="D27" s="302">
        <f t="shared" ref="D27:D34" si="28">SUM(B27:C27)</f>
        <v>1.9375894562560783</v>
      </c>
      <c r="E27" s="303"/>
      <c r="F27" s="302">
        <v>1.1915601267449152</v>
      </c>
      <c r="G27" s="302">
        <v>2.406446142829898</v>
      </c>
      <c r="H27" s="302">
        <f t="shared" ref="H27:H34" si="29">SUM(F27:G27)</f>
        <v>3.598006269574813</v>
      </c>
      <c r="I27" s="303"/>
      <c r="J27" s="302">
        <v>1.3840914018624964</v>
      </c>
      <c r="K27" s="302">
        <v>3.3843599879257464</v>
      </c>
      <c r="L27" s="302">
        <f t="shared" ref="L27:L34" si="30">SUM(J27:K27)</f>
        <v>4.7684513897882432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0.59740800694414808</v>
      </c>
      <c r="C28" s="302">
        <v>0.69582227769095861</v>
      </c>
      <c r="D28" s="302">
        <f t="shared" si="28"/>
        <v>1.2932302846351067</v>
      </c>
      <c r="E28" s="303"/>
      <c r="F28" s="302">
        <v>0.98692837346306073</v>
      </c>
      <c r="G28" s="302">
        <v>1.5617500577514669</v>
      </c>
      <c r="H28" s="302">
        <f t="shared" si="29"/>
        <v>2.5486784312145279</v>
      </c>
      <c r="I28" s="303"/>
      <c r="J28" s="302">
        <v>1.1362977045200859</v>
      </c>
      <c r="K28" s="302">
        <v>1.5853656887309953</v>
      </c>
      <c r="L28" s="302">
        <f t="shared" si="30"/>
        <v>2.721663393251081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1.0765282438119064</v>
      </c>
      <c r="C29" s="302">
        <v>0.32676205710318401</v>
      </c>
      <c r="D29" s="302">
        <f t="shared" si="28"/>
        <v>1.4032903009150903</v>
      </c>
      <c r="E29" s="303"/>
      <c r="F29" s="302">
        <v>1.5813621664751747</v>
      </c>
      <c r="G29" s="302">
        <v>0.9189008799011128</v>
      </c>
      <c r="H29" s="302">
        <f t="shared" si="29"/>
        <v>2.5002630463762876</v>
      </c>
      <c r="I29" s="303"/>
      <c r="J29" s="302">
        <v>0.9637986005491358</v>
      </c>
      <c r="K29" s="302">
        <v>0.85284821846509473</v>
      </c>
      <c r="L29" s="302">
        <f t="shared" si="30"/>
        <v>1.8166468190142306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1.8664775107156912</v>
      </c>
      <c r="C30" s="302">
        <v>22.565362304994469</v>
      </c>
      <c r="D30" s="302">
        <f t="shared" si="28"/>
        <v>24.431839815710159</v>
      </c>
      <c r="E30" s="303"/>
      <c r="F30" s="302">
        <v>2.4944113152042755</v>
      </c>
      <c r="G30" s="302">
        <v>24.798998360519665</v>
      </c>
      <c r="H30" s="302">
        <f t="shared" si="29"/>
        <v>27.29340967572394</v>
      </c>
      <c r="I30" s="303"/>
      <c r="J30" s="302">
        <v>2.6781497655326194</v>
      </c>
      <c r="K30" s="302">
        <v>23.240166026572936</v>
      </c>
      <c r="L30" s="302">
        <f t="shared" si="30"/>
        <v>25.918315792105556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1.8358525979692437</v>
      </c>
      <c r="C31" s="302">
        <v>0.76713262480461331</v>
      </c>
      <c r="D31" s="302">
        <f t="shared" si="28"/>
        <v>2.602985222773857</v>
      </c>
      <c r="E31" s="303"/>
      <c r="F31" s="302">
        <v>3.1562795738978147</v>
      </c>
      <c r="G31" s="302">
        <v>0.83100428950407657</v>
      </c>
      <c r="H31" s="302">
        <f t="shared" si="29"/>
        <v>3.987283863401891</v>
      </c>
      <c r="I31" s="303"/>
      <c r="J31" s="302">
        <v>2.8225574641440074</v>
      </c>
      <c r="K31" s="302">
        <v>1.2190124357955481</v>
      </c>
      <c r="L31" s="302">
        <f t="shared" si="30"/>
        <v>4.0415698999395557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0.28908524825642795</v>
      </c>
      <c r="C32" s="302">
        <v>0.40689791701401928</v>
      </c>
      <c r="D32" s="302">
        <f t="shared" si="28"/>
        <v>0.69598316527044723</v>
      </c>
      <c r="E32" s="303"/>
      <c r="F32" s="302">
        <v>0.35255728738575404</v>
      </c>
      <c r="G32" s="302">
        <v>0.72770527082575698</v>
      </c>
      <c r="H32" s="302">
        <f t="shared" si="29"/>
        <v>1.0802625582115111</v>
      </c>
      <c r="I32" s="303"/>
      <c r="J32" s="302">
        <v>0.29372699824704118</v>
      </c>
      <c r="K32" s="302">
        <v>0.91714968834140886</v>
      </c>
      <c r="L32" s="302">
        <f t="shared" si="30"/>
        <v>1.2108766865884499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0.47016898466785295</v>
      </c>
      <c r="C33" s="302">
        <v>1.9501836062893869</v>
      </c>
      <c r="D33" s="302">
        <f t="shared" si="28"/>
        <v>2.4203525909572399</v>
      </c>
      <c r="E33" s="303"/>
      <c r="F33" s="302">
        <v>0.7038172417720665</v>
      </c>
      <c r="G33" s="302">
        <v>1.927764421106922</v>
      </c>
      <c r="H33" s="302">
        <f t="shared" si="29"/>
        <v>2.6315816628789888</v>
      </c>
      <c r="I33" s="303"/>
      <c r="J33" s="302">
        <v>1.6382268660051549</v>
      </c>
      <c r="K33" s="302">
        <v>2.2788284074060261</v>
      </c>
      <c r="L33" s="302">
        <f t="shared" si="30"/>
        <v>3.9170552734111812</v>
      </c>
      <c r="M33" s="236"/>
      <c r="N33" s="236"/>
    </row>
    <row r="34" spans="1:18" x14ac:dyDescent="0.2">
      <c r="A34" s="237" t="str">
        <f>name!E$12</f>
        <v>Elementary occupations</v>
      </c>
      <c r="B34" s="302">
        <v>4.8756019855799115</v>
      </c>
      <c r="C34" s="302">
        <v>5.5369789550535424</v>
      </c>
      <c r="D34" s="302">
        <f t="shared" si="28"/>
        <v>10.412580940633454</v>
      </c>
      <c r="E34" s="303"/>
      <c r="F34" s="302">
        <v>5.4212247968184304</v>
      </c>
      <c r="G34" s="302">
        <v>5.5718668360315426</v>
      </c>
      <c r="H34" s="302">
        <f t="shared" si="29"/>
        <v>10.993091632849973</v>
      </c>
      <c r="I34" s="303"/>
      <c r="J34" s="302">
        <v>6.1067811126580995</v>
      </c>
      <c r="K34" s="302">
        <v>6.5504967696409917</v>
      </c>
      <c r="L34" s="302">
        <f t="shared" si="30"/>
        <v>12.657277882299091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32</v>
      </c>
      <c r="B36" s="311">
        <f>SUM(B26:B34)</f>
        <v>12.198999999933072</v>
      </c>
      <c r="C36" s="311">
        <f t="shared" ref="C36:K36" si="31">SUM(C26:C34)</f>
        <v>35.537000000008646</v>
      </c>
      <c r="D36" s="311">
        <f t="shared" si="31"/>
        <v>47.735999999941718</v>
      </c>
      <c r="E36" s="311"/>
      <c r="F36" s="311">
        <f t="shared" si="31"/>
        <v>16.545000000185844</v>
      </c>
      <c r="G36" s="311">
        <f t="shared" si="31"/>
        <v>41.768999999814909</v>
      </c>
      <c r="H36" s="311">
        <f t="shared" si="31"/>
        <v>58.314000000000739</v>
      </c>
      <c r="I36" s="311"/>
      <c r="J36" s="311">
        <f t="shared" si="31"/>
        <v>17.675999999808298</v>
      </c>
      <c r="K36" s="311">
        <f t="shared" si="31"/>
        <v>44.363999999419526</v>
      </c>
      <c r="L36" s="311">
        <f>SUM(L26:L34)</f>
        <v>62.039999999227817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name!A5</f>
        <v>Coal, oil &amp; gas; Mining &amp; related</v>
      </c>
      <c r="B40" s="372">
        <f>B$6</f>
        <v>2015</v>
      </c>
      <c r="C40" s="372"/>
      <c r="D40" s="372"/>
      <c r="E40" s="253"/>
      <c r="F40" s="372">
        <f>F23</f>
        <v>2020</v>
      </c>
      <c r="G40" s="372"/>
      <c r="H40" s="372"/>
      <c r="I40" s="253"/>
      <c r="J40" s="372">
        <f>J23</f>
        <v>2035</v>
      </c>
      <c r="K40" s="372"/>
      <c r="L40" s="372"/>
      <c r="M40" s="236"/>
      <c r="N40" s="236"/>
    </row>
    <row r="41" spans="1:18" x14ac:dyDescent="0.2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9.4656409250638684E-3</v>
      </c>
      <c r="C43" s="302">
        <v>0.51431847114002538</v>
      </c>
      <c r="D43" s="302">
        <f>SUM(B43:C43)</f>
        <v>0.52378411206508924</v>
      </c>
      <c r="E43" s="303"/>
      <c r="F43" s="302">
        <v>1.0977213467073654E-2</v>
      </c>
      <c r="G43" s="302">
        <v>0.44146241758366078</v>
      </c>
      <c r="H43" s="302">
        <f>SUM(F43:G43)</f>
        <v>0.45243963105073443</v>
      </c>
      <c r="I43" s="303"/>
      <c r="J43" s="302">
        <v>6.04109637436143E-3</v>
      </c>
      <c r="K43" s="302">
        <v>0.26058181608656483</v>
      </c>
      <c r="L43" s="302">
        <f>SUM(J43:K43)</f>
        <v>0.26662291246092629</v>
      </c>
      <c r="M43" s="236"/>
      <c r="N43" s="236"/>
    </row>
    <row r="44" spans="1:18" x14ac:dyDescent="0.2">
      <c r="A44" s="237" t="str">
        <f>name!E$5</f>
        <v>Professional occupations</v>
      </c>
      <c r="B44" s="302">
        <v>0.14655243679058619</v>
      </c>
      <c r="C44" s="302">
        <v>0.41925334862969382</v>
      </c>
      <c r="D44" s="302">
        <f t="shared" ref="D44:D51" si="32">SUM(B44:C44)</f>
        <v>0.56580578542028004</v>
      </c>
      <c r="E44" s="303"/>
      <c r="F44" s="302">
        <v>0.18389991414956194</v>
      </c>
      <c r="G44" s="302">
        <v>0.40045350043058964</v>
      </c>
      <c r="H44" s="302">
        <f t="shared" ref="H44:H51" si="33">SUM(F44:G44)</f>
        <v>0.58435341458015155</v>
      </c>
      <c r="I44" s="303"/>
      <c r="J44" s="302">
        <v>0.10691201969267564</v>
      </c>
      <c r="K44" s="302">
        <v>0.27292968008739349</v>
      </c>
      <c r="L44" s="302">
        <f t="shared" ref="L44:L51" si="34">SUM(J44:K44)</f>
        <v>0.3798416997800691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6.8099658346276695E-2</v>
      </c>
      <c r="C45" s="302">
        <v>0.33928512303748437</v>
      </c>
      <c r="D45" s="302">
        <f t="shared" si="32"/>
        <v>0.40738478138376105</v>
      </c>
      <c r="E45" s="303"/>
      <c r="F45" s="302">
        <v>7.9854459220740887E-2</v>
      </c>
      <c r="G45" s="302">
        <v>0.34778081699102875</v>
      </c>
      <c r="H45" s="302">
        <f t="shared" si="33"/>
        <v>0.42763527621176967</v>
      </c>
      <c r="I45" s="303"/>
      <c r="J45" s="302">
        <v>4.3462965532204377E-2</v>
      </c>
      <c r="K45" s="302">
        <v>0.17406762774604567</v>
      </c>
      <c r="L45" s="302">
        <f t="shared" si="34"/>
        <v>0.21753059327825006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8.671655241785875E-2</v>
      </c>
      <c r="C46" s="302">
        <v>0.10369504947424313</v>
      </c>
      <c r="D46" s="302">
        <f t="shared" si="32"/>
        <v>0.19041160189210188</v>
      </c>
      <c r="E46" s="303"/>
      <c r="F46" s="302">
        <v>8.4885717287259896E-2</v>
      </c>
      <c r="G46" s="302">
        <v>8.4107606358376649E-2</v>
      </c>
      <c r="H46" s="302">
        <f t="shared" si="33"/>
        <v>0.16899332364563655</v>
      </c>
      <c r="I46" s="303"/>
      <c r="J46" s="302">
        <v>3.0579382650828914E-2</v>
      </c>
      <c r="K46" s="302">
        <v>4.3950241580098554E-2</v>
      </c>
      <c r="L46" s="302">
        <f t="shared" si="34"/>
        <v>7.452962423092746E-2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1.3363217294258385E-2</v>
      </c>
      <c r="C47" s="302">
        <v>0.86901945576259798</v>
      </c>
      <c r="D47" s="302">
        <f t="shared" si="32"/>
        <v>0.88238267305685636</v>
      </c>
      <c r="E47" s="303"/>
      <c r="F47" s="302">
        <v>1.4360070574939031E-2</v>
      </c>
      <c r="G47" s="302">
        <v>0.51696707201381897</v>
      </c>
      <c r="H47" s="302">
        <f>SUM(F47:G47)</f>
        <v>0.53132714258875802</v>
      </c>
      <c r="I47" s="303"/>
      <c r="J47" s="302">
        <v>6.29793560350125E-3</v>
      </c>
      <c r="K47" s="302">
        <v>0.21431231641554049</v>
      </c>
      <c r="L47" s="302">
        <f t="shared" si="34"/>
        <v>0.22061025201904175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7.870161006203967E-2</v>
      </c>
      <c r="C48" s="302">
        <v>3.8734375862479076E-2</v>
      </c>
      <c r="D48" s="302">
        <f t="shared" si="32"/>
        <v>0.11743598592451875</v>
      </c>
      <c r="E48" s="303"/>
      <c r="F48" s="302">
        <v>0.10369008813277422</v>
      </c>
      <c r="G48" s="302">
        <v>3.1508474217934887E-2</v>
      </c>
      <c r="H48" s="302">
        <f t="shared" si="33"/>
        <v>0.1351985623507091</v>
      </c>
      <c r="I48" s="303"/>
      <c r="J48" s="302">
        <v>6.3537318470754292E-2</v>
      </c>
      <c r="K48" s="302">
        <v>1.9718038612517742E-2</v>
      </c>
      <c r="L48" s="302">
        <f t="shared" si="34"/>
        <v>8.325535708327203E-2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2.0445271922652657E-2</v>
      </c>
      <c r="C49" s="302">
        <v>7.8089769671370254E-2</v>
      </c>
      <c r="D49" s="302">
        <f t="shared" si="32"/>
        <v>9.8535041594022904E-2</v>
      </c>
      <c r="E49" s="303"/>
      <c r="F49" s="302">
        <v>2.1397440524824098E-2</v>
      </c>
      <c r="G49" s="302">
        <v>4.838707305513526E-2</v>
      </c>
      <c r="H49" s="302">
        <f t="shared" si="33"/>
        <v>6.9784513579959351E-2</v>
      </c>
      <c r="I49" s="303"/>
      <c r="J49" s="302">
        <v>9.3184704903696656E-3</v>
      </c>
      <c r="K49" s="302">
        <v>2.9890293369751481E-2</v>
      </c>
      <c r="L49" s="302">
        <f t="shared" si="34"/>
        <v>3.9208763860121149E-2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3.7833256550503687E-3</v>
      </c>
      <c r="C50" s="302">
        <v>1.322808046402314</v>
      </c>
      <c r="D50" s="302">
        <f t="shared" si="32"/>
        <v>1.3265913720573643</v>
      </c>
      <c r="E50" s="303"/>
      <c r="F50" s="302">
        <v>2.600527724875179E-3</v>
      </c>
      <c r="G50" s="302">
        <v>1.0871608659633938</v>
      </c>
      <c r="H50" s="302">
        <f t="shared" si="33"/>
        <v>1.0897613936882689</v>
      </c>
      <c r="I50" s="303"/>
      <c r="J50" s="302">
        <v>2.1866091836625196E-3</v>
      </c>
      <c r="K50" s="302">
        <v>0.59019490622637583</v>
      </c>
      <c r="L50" s="302">
        <f t="shared" si="34"/>
        <v>0.59238151541003836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2.4872286586595342E-2</v>
      </c>
      <c r="C51" s="302">
        <v>0.54379636000550413</v>
      </c>
      <c r="D51" s="302">
        <f t="shared" si="32"/>
        <v>0.56866864659209948</v>
      </c>
      <c r="E51" s="303"/>
      <c r="F51" s="302">
        <v>2.2334568912974473E-2</v>
      </c>
      <c r="G51" s="302">
        <v>4.0172173400868018E-2</v>
      </c>
      <c r="H51" s="302">
        <f t="shared" si="33"/>
        <v>6.2506742313842484E-2</v>
      </c>
      <c r="I51" s="303"/>
      <c r="J51" s="302">
        <v>9.6642020010016157E-3</v>
      </c>
      <c r="K51" s="302">
        <v>1.1355079893643746E-2</v>
      </c>
      <c r="L51" s="302">
        <f t="shared" si="34"/>
        <v>2.1019281894645362E-2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32</v>
      </c>
      <c r="B53" s="311">
        <f>SUM(B43:B51)</f>
        <v>0.45200000000038193</v>
      </c>
      <c r="C53" s="311">
        <f t="shared" ref="C53:L53" si="35">SUM(C43:C51)</f>
        <v>4.228999999985712</v>
      </c>
      <c r="D53" s="311">
        <f t="shared" si="35"/>
        <v>4.6809999999860938</v>
      </c>
      <c r="E53" s="311"/>
      <c r="F53" s="311">
        <f t="shared" si="35"/>
        <v>0.52399999999502345</v>
      </c>
      <c r="G53" s="311">
        <f t="shared" si="35"/>
        <v>2.9980000000148066</v>
      </c>
      <c r="H53" s="311">
        <f t="shared" si="35"/>
        <v>3.5220000000098297</v>
      </c>
      <c r="I53" s="311"/>
      <c r="J53" s="311">
        <f t="shared" si="35"/>
        <v>0.2779999999993597</v>
      </c>
      <c r="K53" s="311">
        <f t="shared" si="35"/>
        <v>1.6170000000179319</v>
      </c>
      <c r="L53" s="311">
        <f t="shared" si="35"/>
        <v>1.8950000000172915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name!A6</f>
        <v>Food products</v>
      </c>
      <c r="B57" s="372">
        <f>B$6</f>
        <v>2015</v>
      </c>
      <c r="C57" s="372"/>
      <c r="D57" s="372"/>
      <c r="E57" s="253"/>
      <c r="F57" s="372">
        <f>F40</f>
        <v>2020</v>
      </c>
      <c r="G57" s="372"/>
      <c r="H57" s="372"/>
      <c r="I57" s="253"/>
      <c r="J57" s="372">
        <f>J40</f>
        <v>2035</v>
      </c>
      <c r="K57" s="372"/>
      <c r="L57" s="372"/>
      <c r="M57" s="236"/>
      <c r="N57" s="236"/>
    </row>
    <row r="58" spans="1:14" x14ac:dyDescent="0.2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0.58861678931607375</v>
      </c>
      <c r="C60" s="302">
        <v>1.8159500669294408</v>
      </c>
      <c r="D60" s="302">
        <f>SUM(B60:C60)</f>
        <v>2.4045668562455145</v>
      </c>
      <c r="E60" s="303"/>
      <c r="F60" s="302">
        <v>0.97386264314002624</v>
      </c>
      <c r="G60" s="302">
        <v>1.9276715241106721</v>
      </c>
      <c r="H60" s="302">
        <f>SUM(F60:G60)</f>
        <v>2.9015341672506985</v>
      </c>
      <c r="I60" s="303"/>
      <c r="J60" s="302">
        <v>0.90702278124805313</v>
      </c>
      <c r="K60" s="302">
        <v>1.5019247218285794</v>
      </c>
      <c r="L60" s="302">
        <f>SUM(J60:K60)</f>
        <v>2.4089475030766323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0.67178609885947593</v>
      </c>
      <c r="C61" s="302">
        <v>1.0471880560599147</v>
      </c>
      <c r="D61" s="302">
        <f t="shared" ref="D61:D68" si="36">SUM(B61:C61)</f>
        <v>1.7189741549193907</v>
      </c>
      <c r="E61" s="303"/>
      <c r="F61" s="302">
        <v>1.1232070056027366</v>
      </c>
      <c r="G61" s="302">
        <v>1.2958325364106642</v>
      </c>
      <c r="H61" s="302">
        <f t="shared" ref="H61:H68" si="37">SUM(F61:G61)</f>
        <v>2.419039542013401</v>
      </c>
      <c r="I61" s="303"/>
      <c r="J61" s="302">
        <v>1.1019907702572236</v>
      </c>
      <c r="K61" s="302">
        <v>1.2086678702322842</v>
      </c>
      <c r="L61" s="302">
        <f t="shared" ref="L61:L68" si="38">SUM(J61:K61)</f>
        <v>2.3106586404895078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0.92077021085994715</v>
      </c>
      <c r="C62" s="302">
        <v>1.5691887958809401</v>
      </c>
      <c r="D62" s="302">
        <f t="shared" si="36"/>
        <v>2.4899590067408872</v>
      </c>
      <c r="E62" s="303"/>
      <c r="F62" s="302">
        <v>1.2216457060606962</v>
      </c>
      <c r="G62" s="302">
        <v>1.844122867238134</v>
      </c>
      <c r="H62" s="302">
        <f t="shared" si="37"/>
        <v>3.06576857329883</v>
      </c>
      <c r="I62" s="303"/>
      <c r="J62" s="302">
        <v>1.0619039371543453</v>
      </c>
      <c r="K62" s="302">
        <v>1.2569150734232664</v>
      </c>
      <c r="L62" s="302">
        <f t="shared" si="38"/>
        <v>2.3188190105776116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1.492895669301429</v>
      </c>
      <c r="C63" s="302">
        <v>0.90662255059768204</v>
      </c>
      <c r="D63" s="302">
        <f t="shared" si="36"/>
        <v>2.399518219899111</v>
      </c>
      <c r="E63" s="303"/>
      <c r="F63" s="302">
        <v>1.5038937648723236</v>
      </c>
      <c r="G63" s="302">
        <v>1.0297840635376891</v>
      </c>
      <c r="H63" s="302">
        <f t="shared" si="37"/>
        <v>2.5336778284100125</v>
      </c>
      <c r="I63" s="303"/>
      <c r="J63" s="302">
        <v>1.0414092134228989</v>
      </c>
      <c r="K63" s="302">
        <v>0.71904900444652753</v>
      </c>
      <c r="L63" s="302">
        <f t="shared" si="38"/>
        <v>1.7604582178694264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0.90532947869809322</v>
      </c>
      <c r="C64" s="302">
        <v>3.1718344045578868</v>
      </c>
      <c r="D64" s="302">
        <f t="shared" si="36"/>
        <v>4.07716388325598</v>
      </c>
      <c r="E64" s="303"/>
      <c r="F64" s="302">
        <v>1.5916860243640771</v>
      </c>
      <c r="G64" s="302">
        <v>2.324076955056348</v>
      </c>
      <c r="H64" s="302">
        <f t="shared" si="37"/>
        <v>3.9157629794204252</v>
      </c>
      <c r="I64" s="303"/>
      <c r="J64" s="302">
        <v>1.1364820602477352</v>
      </c>
      <c r="K64" s="302">
        <v>1.5637110121845221</v>
      </c>
      <c r="L64" s="302">
        <f t="shared" si="38"/>
        <v>2.7001930724322571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7.6682443355466395E-2</v>
      </c>
      <c r="C65" s="302">
        <v>0.13148225989759527</v>
      </c>
      <c r="D65" s="302">
        <f t="shared" si="36"/>
        <v>0.20816470325306166</v>
      </c>
      <c r="E65" s="303"/>
      <c r="F65" s="302">
        <v>0.13128915754541731</v>
      </c>
      <c r="G65" s="302">
        <v>0.14318097101583785</v>
      </c>
      <c r="H65" s="302">
        <f t="shared" si="37"/>
        <v>0.27447012856125519</v>
      </c>
      <c r="I65" s="303"/>
      <c r="J65" s="302">
        <v>0.11754805786120995</v>
      </c>
      <c r="K65" s="302">
        <v>0.11058131382696967</v>
      </c>
      <c r="L65" s="302">
        <f t="shared" si="38"/>
        <v>0.22812937168817962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0.91335687357192552</v>
      </c>
      <c r="C66" s="302">
        <v>1.7141900486182111</v>
      </c>
      <c r="D66" s="302">
        <f t="shared" si="36"/>
        <v>2.6275469221901364</v>
      </c>
      <c r="E66" s="303"/>
      <c r="F66" s="302">
        <v>0.79778790495554253</v>
      </c>
      <c r="G66" s="302">
        <v>1.6117536772428798</v>
      </c>
      <c r="H66" s="302">
        <f t="shared" si="37"/>
        <v>2.4095415821984223</v>
      </c>
      <c r="I66" s="303"/>
      <c r="J66" s="302">
        <v>0.60849756106448993</v>
      </c>
      <c r="K66" s="302">
        <v>1.3091898997153188</v>
      </c>
      <c r="L66" s="302">
        <f t="shared" si="38"/>
        <v>1.9176874607798089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1.9067726789440502</v>
      </c>
      <c r="C67" s="302">
        <v>8.246274234296191</v>
      </c>
      <c r="D67" s="302">
        <f t="shared" si="36"/>
        <v>10.153046913240241</v>
      </c>
      <c r="E67" s="303"/>
      <c r="F67" s="302">
        <v>1.8616414755567776</v>
      </c>
      <c r="G67" s="302">
        <v>6.6939616517586336</v>
      </c>
      <c r="H67" s="302">
        <f t="shared" si="37"/>
        <v>8.5556031273154112</v>
      </c>
      <c r="I67" s="303"/>
      <c r="J67" s="302">
        <v>1.7990566758338464</v>
      </c>
      <c r="K67" s="302">
        <v>5.3304841911161978</v>
      </c>
      <c r="L67" s="302">
        <f t="shared" si="38"/>
        <v>7.1295408669500446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1.7627897570107673</v>
      </c>
      <c r="C68" s="302">
        <v>3.0932695832201791</v>
      </c>
      <c r="D68" s="302">
        <f t="shared" si="36"/>
        <v>4.8560593402309467</v>
      </c>
      <c r="E68" s="303"/>
      <c r="F68" s="302">
        <v>1.3819863179203848</v>
      </c>
      <c r="G68" s="302">
        <v>2.5596157538209798</v>
      </c>
      <c r="H68" s="302">
        <f t="shared" si="37"/>
        <v>3.9416020717413645</v>
      </c>
      <c r="I68" s="303"/>
      <c r="J68" s="302">
        <v>0.96808894284841385</v>
      </c>
      <c r="K68" s="302">
        <v>1.4474769134483791</v>
      </c>
      <c r="L68" s="302">
        <f t="shared" si="38"/>
        <v>2.415565856296793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32</v>
      </c>
      <c r="B70" s="311">
        <f>SUM(B60:B68)</f>
        <v>9.2389999999172279</v>
      </c>
      <c r="C70" s="311">
        <f t="shared" ref="C70:L70" si="39">SUM(C60:C68)</f>
        <v>21.696000000058042</v>
      </c>
      <c r="D70" s="311">
        <f t="shared" si="39"/>
        <v>30.934999999975268</v>
      </c>
      <c r="E70" s="311"/>
      <c r="F70" s="311">
        <f t="shared" si="39"/>
        <v>10.587000000017982</v>
      </c>
      <c r="G70" s="311">
        <f t="shared" si="39"/>
        <v>19.430000000191839</v>
      </c>
      <c r="H70" s="311">
        <f t="shared" si="39"/>
        <v>30.017000000209819</v>
      </c>
      <c r="I70" s="311"/>
      <c r="J70" s="311">
        <f t="shared" si="39"/>
        <v>8.7419999999382174</v>
      </c>
      <c r="K70" s="311">
        <f t="shared" si="39"/>
        <v>14.448000000222045</v>
      </c>
      <c r="L70" s="311">
        <f t="shared" si="39"/>
        <v>23.190000000160264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name!A7</f>
        <v>Beverages and tobacco</v>
      </c>
      <c r="B74" s="372">
        <f>B$6</f>
        <v>2015</v>
      </c>
      <c r="C74" s="372"/>
      <c r="D74" s="372"/>
      <c r="E74" s="253"/>
      <c r="F74" s="372">
        <f>F57</f>
        <v>2020</v>
      </c>
      <c r="G74" s="372"/>
      <c r="H74" s="372"/>
      <c r="I74" s="253"/>
      <c r="J74" s="372">
        <f>J57</f>
        <v>2035</v>
      </c>
      <c r="K74" s="372"/>
      <c r="L74" s="372"/>
      <c r="M74" s="236"/>
      <c r="N74" s="236"/>
    </row>
    <row r="75" spans="1:14" x14ac:dyDescent="0.2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0.29146537523850541</v>
      </c>
      <c r="C77" s="302">
        <v>0.18739957291780632</v>
      </c>
      <c r="D77" s="302">
        <f>SUM(B77:C77)</f>
        <v>0.47886494815631175</v>
      </c>
      <c r="E77" s="303"/>
      <c r="F77" s="302">
        <v>0.45742150067682008</v>
      </c>
      <c r="G77" s="302">
        <v>0.2243700955344069</v>
      </c>
      <c r="H77" s="302">
        <f>SUM(F77:G77)</f>
        <v>0.68179159621122698</v>
      </c>
      <c r="I77" s="303"/>
      <c r="J77" s="302">
        <v>0.42221861929008686</v>
      </c>
      <c r="K77" s="302">
        <v>0.16236273913284444</v>
      </c>
      <c r="L77" s="302">
        <f>SUM(J77:K77)</f>
        <v>0.58458135842293135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0.38135213025377118</v>
      </c>
      <c r="C78" s="302">
        <v>0.19842148928773817</v>
      </c>
      <c r="D78" s="302">
        <f t="shared" ref="D78:D85" si="40">SUM(B78:C78)</f>
        <v>0.5797736195415093</v>
      </c>
      <c r="E78" s="303"/>
      <c r="F78" s="302">
        <v>0.65416601981384492</v>
      </c>
      <c r="G78" s="302">
        <v>0.25563865721883089</v>
      </c>
      <c r="H78" s="302">
        <f t="shared" ref="H78:H85" si="41">SUM(F78:G78)</f>
        <v>0.90980467703267576</v>
      </c>
      <c r="I78" s="303"/>
      <c r="J78" s="302">
        <v>0.59682370149453456</v>
      </c>
      <c r="K78" s="302">
        <v>0.22052218475835683</v>
      </c>
      <c r="L78" s="302">
        <f t="shared" ref="L78:L85" si="42">SUM(J78:K78)</f>
        <v>0.8173458862528914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0.44056332895209654</v>
      </c>
      <c r="C79" s="302">
        <v>0.22941522248806528</v>
      </c>
      <c r="D79" s="302">
        <f t="shared" si="40"/>
        <v>0.66997855144016183</v>
      </c>
      <c r="E79" s="303"/>
      <c r="F79" s="302">
        <v>0.70694928392083312</v>
      </c>
      <c r="G79" s="302">
        <v>0.28543547122277307</v>
      </c>
      <c r="H79" s="302">
        <f t="shared" si="41"/>
        <v>0.99238475514360625</v>
      </c>
      <c r="I79" s="303"/>
      <c r="J79" s="302">
        <v>0.59633868744469765</v>
      </c>
      <c r="K79" s="302">
        <v>0.1891270355625973</v>
      </c>
      <c r="L79" s="302">
        <f t="shared" si="42"/>
        <v>0.785465723007295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0.72300739655028834</v>
      </c>
      <c r="C80" s="302">
        <v>3.8426059918296118E-2</v>
      </c>
      <c r="D80" s="302">
        <f t="shared" si="40"/>
        <v>0.76143345646858451</v>
      </c>
      <c r="E80" s="303"/>
      <c r="F80" s="302">
        <v>0.87702626830225405</v>
      </c>
      <c r="G80" s="302">
        <v>5.2476627057992838E-2</v>
      </c>
      <c r="H80" s="302">
        <f t="shared" si="41"/>
        <v>0.92950289536024688</v>
      </c>
      <c r="I80" s="303"/>
      <c r="J80" s="302">
        <v>0.50069930571268484</v>
      </c>
      <c r="K80" s="302">
        <v>4.0517516688176582E-2</v>
      </c>
      <c r="L80" s="302">
        <f t="shared" si="42"/>
        <v>0.54121682240086144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5.8507243335208584E-2</v>
      </c>
      <c r="C81" s="302">
        <v>0.19302002952967245</v>
      </c>
      <c r="D81" s="302">
        <f t="shared" si="40"/>
        <v>0.25152727286488102</v>
      </c>
      <c r="E81" s="303"/>
      <c r="F81" s="302">
        <v>0.10545882493210719</v>
      </c>
      <c r="G81" s="302">
        <v>0.16927365110497666</v>
      </c>
      <c r="H81" s="302">
        <f t="shared" si="41"/>
        <v>0.27473247603708384</v>
      </c>
      <c r="I81" s="303"/>
      <c r="J81" s="302">
        <v>0.14191982697357605</v>
      </c>
      <c r="K81" s="302">
        <v>0.11371684214118513</v>
      </c>
      <c r="L81" s="302">
        <f t="shared" si="42"/>
        <v>0.25563666911476118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0.15838368304938918</v>
      </c>
      <c r="C82" s="302">
        <v>2.1946738418580063E-2</v>
      </c>
      <c r="D82" s="302">
        <f t="shared" si="40"/>
        <v>0.18033042146796924</v>
      </c>
      <c r="E82" s="303"/>
      <c r="F82" s="302">
        <v>0.22127425441269538</v>
      </c>
      <c r="G82" s="302">
        <v>3.0239841774690756E-2</v>
      </c>
      <c r="H82" s="302">
        <f t="shared" si="41"/>
        <v>0.25151409618738613</v>
      </c>
      <c r="I82" s="303"/>
      <c r="J82" s="302">
        <v>0.17308666601888967</v>
      </c>
      <c r="K82" s="302">
        <v>2.3161026414045306E-2</v>
      </c>
      <c r="L82" s="302">
        <f t="shared" si="42"/>
        <v>0.19624769243293497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0.2361995406375956</v>
      </c>
      <c r="C83" s="302">
        <v>6.993141950885523E-2</v>
      </c>
      <c r="D83" s="302">
        <f t="shared" si="40"/>
        <v>0.3061309601464508</v>
      </c>
      <c r="E83" s="303"/>
      <c r="F83" s="302">
        <v>0.32810958894519443</v>
      </c>
      <c r="G83" s="302">
        <v>7.8832096100762472E-2</v>
      </c>
      <c r="H83" s="302">
        <f t="shared" si="41"/>
        <v>0.4069416850459569</v>
      </c>
      <c r="I83" s="303"/>
      <c r="J83" s="302">
        <v>0.26718013426340204</v>
      </c>
      <c r="K83" s="302">
        <v>5.0968766653900835E-2</v>
      </c>
      <c r="L83" s="302">
        <f t="shared" si="42"/>
        <v>0.31814890091730286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0.14871170440674719</v>
      </c>
      <c r="C84" s="302">
        <v>0.49587651871130722</v>
      </c>
      <c r="D84" s="302">
        <f t="shared" si="40"/>
        <v>0.64458822311805442</v>
      </c>
      <c r="E84" s="303"/>
      <c r="F84" s="302">
        <v>0.14539311066061766</v>
      </c>
      <c r="G84" s="302">
        <v>0.45781795986009965</v>
      </c>
      <c r="H84" s="302">
        <f t="shared" si="41"/>
        <v>0.60321107052071732</v>
      </c>
      <c r="I84" s="303"/>
      <c r="J84" s="302">
        <v>0.19486995253568634</v>
      </c>
      <c r="K84" s="302">
        <v>0.40232044809365597</v>
      </c>
      <c r="L84" s="302">
        <f t="shared" si="42"/>
        <v>0.59719040062934226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0.18780959756230378</v>
      </c>
      <c r="C85" s="302">
        <v>0.17356294922071455</v>
      </c>
      <c r="D85" s="302">
        <f t="shared" si="40"/>
        <v>0.36137254678301833</v>
      </c>
      <c r="E85" s="303"/>
      <c r="F85" s="302">
        <v>0.20720114833734782</v>
      </c>
      <c r="G85" s="302">
        <v>0.15491560013400232</v>
      </c>
      <c r="H85" s="302">
        <f t="shared" si="41"/>
        <v>0.36211674847135011</v>
      </c>
      <c r="I85" s="303"/>
      <c r="J85" s="302">
        <v>0.13486310625494521</v>
      </c>
      <c r="K85" s="302">
        <v>7.830344056707518E-2</v>
      </c>
      <c r="L85" s="302">
        <f t="shared" si="42"/>
        <v>0.21316654682202041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32</v>
      </c>
      <c r="B87" s="311">
        <f>SUM(B77:B85)</f>
        <v>2.6259999999859058</v>
      </c>
      <c r="C87" s="311">
        <f t="shared" ref="C87:D87" si="43">SUM(C77:C85)</f>
        <v>1.6080000000010353</v>
      </c>
      <c r="D87" s="311">
        <f t="shared" si="43"/>
        <v>4.2339999999869411</v>
      </c>
      <c r="E87" s="311"/>
      <c r="F87" s="311">
        <f t="shared" ref="F87:H87" si="44">SUM(F77:F85)</f>
        <v>3.7030000000017149</v>
      </c>
      <c r="G87" s="311">
        <f t="shared" si="44"/>
        <v>1.7090000000085355</v>
      </c>
      <c r="H87" s="311">
        <f t="shared" si="44"/>
        <v>5.4120000000102495</v>
      </c>
      <c r="I87" s="311"/>
      <c r="J87" s="311">
        <f t="shared" ref="J87:L87" si="45">SUM(J77:J85)</f>
        <v>3.0279999999885026</v>
      </c>
      <c r="K87" s="311">
        <f t="shared" si="45"/>
        <v>1.2810000000118378</v>
      </c>
      <c r="L87" s="311">
        <f t="shared" si="45"/>
        <v>4.3090000000003412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name!A8</f>
        <v>Textiles</v>
      </c>
      <c r="B91" s="372">
        <f>B$6</f>
        <v>2015</v>
      </c>
      <c r="C91" s="372"/>
      <c r="D91" s="372"/>
      <c r="E91" s="253"/>
      <c r="F91" s="372">
        <f>F74</f>
        <v>2020</v>
      </c>
      <c r="G91" s="372"/>
      <c r="H91" s="372"/>
      <c r="I91" s="253"/>
      <c r="J91" s="372">
        <f>J74</f>
        <v>2035</v>
      </c>
      <c r="K91" s="372"/>
      <c r="L91" s="372"/>
      <c r="M91" s="236"/>
      <c r="N91" s="236"/>
    </row>
    <row r="92" spans="1:14" x14ac:dyDescent="0.2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6.2858615097982601E-2</v>
      </c>
      <c r="C94" s="302">
        <v>0.21840068195723703</v>
      </c>
      <c r="D94" s="302">
        <f>SUM(B94:C94)</f>
        <v>0.28125929705521963</v>
      </c>
      <c r="E94" s="303"/>
      <c r="F94" s="302">
        <v>0.11482295312535154</v>
      </c>
      <c r="G94" s="302">
        <v>0.11004440888383783</v>
      </c>
      <c r="H94" s="302">
        <f>SUM(F94:G94)</f>
        <v>0.22486736200918939</v>
      </c>
      <c r="I94" s="303"/>
      <c r="J94" s="302">
        <v>8.8163812978792749E-2</v>
      </c>
      <c r="K94" s="302">
        <v>8.2311688697085078E-2</v>
      </c>
      <c r="L94" s="302">
        <f>SUM(J94:K94)</f>
        <v>0.17047550167587783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6.7480914225863775E-2</v>
      </c>
      <c r="C95" s="302">
        <v>0.14259838752559967</v>
      </c>
      <c r="D95" s="302">
        <f t="shared" ref="D95:D102" si="46">SUM(B95:C95)</f>
        <v>0.21007930175146344</v>
      </c>
      <c r="E95" s="303"/>
      <c r="F95" s="302">
        <v>6.9415566281035693E-2</v>
      </c>
      <c r="G95" s="302">
        <v>8.6675605942290651E-2</v>
      </c>
      <c r="H95" s="302">
        <f t="shared" ref="H95:H102" si="47">SUM(F95:G95)</f>
        <v>0.15609117222332636</v>
      </c>
      <c r="I95" s="303"/>
      <c r="J95" s="302">
        <v>4.9937892688146933E-2</v>
      </c>
      <c r="K95" s="302">
        <v>7.6410735037268668E-2</v>
      </c>
      <c r="L95" s="302">
        <f t="shared" ref="L95:L102" si="48">SUM(J95:K95)</f>
        <v>0.12634862772541561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0.13469308324840648</v>
      </c>
      <c r="C96" s="302">
        <v>0.1566640790797833</v>
      </c>
      <c r="D96" s="302">
        <f t="shared" si="46"/>
        <v>0.29135716232818976</v>
      </c>
      <c r="E96" s="303"/>
      <c r="F96" s="302">
        <v>0.14928270062805285</v>
      </c>
      <c r="G96" s="302">
        <v>7.7029271761800258E-2</v>
      </c>
      <c r="H96" s="302">
        <f t="shared" si="47"/>
        <v>0.22631197238985312</v>
      </c>
      <c r="I96" s="303"/>
      <c r="J96" s="302">
        <v>0.10602683173338945</v>
      </c>
      <c r="K96" s="302">
        <v>5.9905402159265361E-2</v>
      </c>
      <c r="L96" s="302">
        <f t="shared" si="48"/>
        <v>0.16593223389265482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0.22600203873529373</v>
      </c>
      <c r="C97" s="302">
        <v>0.19889556859209243</v>
      </c>
      <c r="D97" s="302">
        <f t="shared" si="46"/>
        <v>0.42489760732738613</v>
      </c>
      <c r="E97" s="303"/>
      <c r="F97" s="302">
        <v>0.11880861874468419</v>
      </c>
      <c r="G97" s="302">
        <v>0.12347031254411893</v>
      </c>
      <c r="H97" s="302">
        <f t="shared" si="47"/>
        <v>0.24227893128880312</v>
      </c>
      <c r="I97" s="303"/>
      <c r="J97" s="302">
        <v>6.7793014803852691E-2</v>
      </c>
      <c r="K97" s="302">
        <v>0.10179963128617202</v>
      </c>
      <c r="L97" s="302">
        <f t="shared" si="48"/>
        <v>0.16959264609002472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0.17250382958265609</v>
      </c>
      <c r="C98" s="302">
        <v>0.63462411173671962</v>
      </c>
      <c r="D98" s="302">
        <f t="shared" si="46"/>
        <v>0.80712794131937571</v>
      </c>
      <c r="E98" s="303"/>
      <c r="F98" s="302">
        <v>0.24015540213124104</v>
      </c>
      <c r="G98" s="302">
        <v>0.24805569788460785</v>
      </c>
      <c r="H98" s="302">
        <f t="shared" si="47"/>
        <v>0.48821110001584889</v>
      </c>
      <c r="I98" s="303"/>
      <c r="J98" s="302">
        <v>0.17132962138606334</v>
      </c>
      <c r="K98" s="302">
        <v>0.16530165230507748</v>
      </c>
      <c r="L98" s="302">
        <f t="shared" si="48"/>
        <v>0.33663127369114082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1.7998277405491873E-2</v>
      </c>
      <c r="C99" s="302">
        <v>6.3887326373545644E-3</v>
      </c>
      <c r="D99" s="302">
        <f t="shared" si="46"/>
        <v>2.4387010042846435E-2</v>
      </c>
      <c r="E99" s="303"/>
      <c r="F99" s="302">
        <v>1.7780047153622885E-2</v>
      </c>
      <c r="G99" s="302">
        <v>3.6434306587317857E-3</v>
      </c>
      <c r="H99" s="302">
        <f t="shared" si="47"/>
        <v>2.1423477812354673E-2</v>
      </c>
      <c r="I99" s="303"/>
      <c r="J99" s="302">
        <v>1.4059759652749786E-2</v>
      </c>
      <c r="K99" s="302">
        <v>3.9579855968892705E-3</v>
      </c>
      <c r="L99" s="302">
        <f t="shared" si="48"/>
        <v>1.8017745249639058E-2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0.13832737404406695</v>
      </c>
      <c r="C100" s="302">
        <v>6.1831739758156923E-2</v>
      </c>
      <c r="D100" s="302">
        <f t="shared" si="46"/>
        <v>0.20015911380222387</v>
      </c>
      <c r="E100" s="303"/>
      <c r="F100" s="302">
        <v>8.5047273100195567E-2</v>
      </c>
      <c r="G100" s="302">
        <v>2.9505257755965093E-2</v>
      </c>
      <c r="H100" s="302">
        <f t="shared" si="47"/>
        <v>0.11455253085616066</v>
      </c>
      <c r="I100" s="303"/>
      <c r="J100" s="302">
        <v>5.8972555684199318E-2</v>
      </c>
      <c r="K100" s="302">
        <v>2.5333659777151744E-2</v>
      </c>
      <c r="L100" s="302">
        <f t="shared" si="48"/>
        <v>8.4306215461351058E-2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0.37031427974265863</v>
      </c>
      <c r="C101" s="302">
        <v>0.41865267210125184</v>
      </c>
      <c r="D101" s="302">
        <f t="shared" si="46"/>
        <v>0.78896695184391041</v>
      </c>
      <c r="E101" s="303"/>
      <c r="F101" s="302">
        <v>0.3073027733630887</v>
      </c>
      <c r="G101" s="302">
        <v>0.17654101102630224</v>
      </c>
      <c r="H101" s="302">
        <f t="shared" si="47"/>
        <v>0.48384378438939091</v>
      </c>
      <c r="I101" s="303"/>
      <c r="J101" s="302">
        <v>0.25090050499706495</v>
      </c>
      <c r="K101" s="302">
        <v>0.13381119744763517</v>
      </c>
      <c r="L101" s="302">
        <f t="shared" si="48"/>
        <v>0.3847117024447001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5.982158791634494E-2</v>
      </c>
      <c r="C102" s="302">
        <v>0.27494402661852568</v>
      </c>
      <c r="D102" s="302">
        <f t="shared" si="46"/>
        <v>0.33476561453487064</v>
      </c>
      <c r="E102" s="303"/>
      <c r="F102" s="302">
        <v>3.7384665463092666E-2</v>
      </c>
      <c r="G102" s="302">
        <v>0.1240350035503904</v>
      </c>
      <c r="H102" s="302">
        <f t="shared" si="47"/>
        <v>0.16141966901348306</v>
      </c>
      <c r="I102" s="303"/>
      <c r="J102" s="302">
        <v>1.9816006075972822E-2</v>
      </c>
      <c r="K102" s="302">
        <v>7.4168047703728493E-2</v>
      </c>
      <c r="L102" s="302">
        <f t="shared" si="48"/>
        <v>9.3984053779701315E-2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32</v>
      </c>
      <c r="B104" s="311">
        <f>SUM(B94:B102)</f>
        <v>1.249999999998765</v>
      </c>
      <c r="C104" s="311">
        <f t="shared" ref="C104:D104" si="49">SUM(C94:C102)</f>
        <v>2.1130000000067213</v>
      </c>
      <c r="D104" s="311">
        <f t="shared" si="49"/>
        <v>3.3630000000054863</v>
      </c>
      <c r="E104" s="311"/>
      <c r="F104" s="311">
        <f t="shared" ref="F104:H104" si="50">SUM(F94:F102)</f>
        <v>1.1399999999903652</v>
      </c>
      <c r="G104" s="311">
        <f t="shared" si="50"/>
        <v>0.9790000000080451</v>
      </c>
      <c r="H104" s="311">
        <f t="shared" si="50"/>
        <v>2.1189999999984104</v>
      </c>
      <c r="I104" s="311"/>
      <c r="J104" s="311">
        <f t="shared" ref="J104:L104" si="51">SUM(J94:J102)</f>
        <v>0.82700000000023199</v>
      </c>
      <c r="K104" s="311">
        <f t="shared" si="51"/>
        <v>0.72300000001027331</v>
      </c>
      <c r="L104" s="311">
        <f t="shared" si="51"/>
        <v>1.5500000000105052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name!A9</f>
        <v>Wearing apparel; Leather, etc</v>
      </c>
      <c r="B108" s="372">
        <f>B$6</f>
        <v>2015</v>
      </c>
      <c r="C108" s="372"/>
      <c r="D108" s="372"/>
      <c r="E108" s="253"/>
      <c r="F108" s="372">
        <f>F91</f>
        <v>2020</v>
      </c>
      <c r="G108" s="372"/>
      <c r="H108" s="372"/>
      <c r="I108" s="253"/>
      <c r="J108" s="372">
        <f>J91</f>
        <v>2035</v>
      </c>
      <c r="K108" s="372"/>
      <c r="L108" s="372"/>
      <c r="M108" s="236"/>
      <c r="N108" s="236"/>
    </row>
    <row r="109" spans="1:14" x14ac:dyDescent="0.2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0.12252717692484337</v>
      </c>
      <c r="C111" s="302">
        <v>0.11890757404909041</v>
      </c>
      <c r="D111" s="302">
        <f>SUM(B111:C111)</f>
        <v>0.2414347509739338</v>
      </c>
      <c r="E111" s="303"/>
      <c r="F111" s="302">
        <v>0.18596631591017995</v>
      </c>
      <c r="G111" s="302">
        <v>0.12963848157643804</v>
      </c>
      <c r="H111" s="302">
        <f>SUM(F111:G111)</f>
        <v>0.31560479748661796</v>
      </c>
      <c r="I111" s="303"/>
      <c r="J111" s="302">
        <v>0.11148952587017776</v>
      </c>
      <c r="K111" s="302">
        <v>0.10337040357995655</v>
      </c>
      <c r="L111" s="302">
        <f>SUM(J111:K111)</f>
        <v>0.21485992945013432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0.12567538889982952</v>
      </c>
      <c r="C112" s="302">
        <v>0.13972906585336084</v>
      </c>
      <c r="D112" s="302">
        <f t="shared" ref="D112:D119" si="52">SUM(B112:C112)</f>
        <v>0.26540445475319036</v>
      </c>
      <c r="E112" s="303"/>
      <c r="F112" s="302">
        <v>0.33619176097193976</v>
      </c>
      <c r="G112" s="302">
        <v>0.17602048306445744</v>
      </c>
      <c r="H112" s="302">
        <f t="shared" ref="H112:H119" si="53">SUM(F112:G112)</f>
        <v>0.5122122440363972</v>
      </c>
      <c r="I112" s="303"/>
      <c r="J112" s="302">
        <v>0.31166892922129369</v>
      </c>
      <c r="K112" s="302">
        <v>0.16484405719890924</v>
      </c>
      <c r="L112" s="302">
        <f t="shared" ref="L112:L119" si="54">SUM(J112:K112)</f>
        <v>0.4765129864202029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0.2000452733315343</v>
      </c>
      <c r="C113" s="302">
        <v>0.10539192755184726</v>
      </c>
      <c r="D113" s="302">
        <f t="shared" si="52"/>
        <v>0.30543720088338155</v>
      </c>
      <c r="E113" s="303"/>
      <c r="F113" s="302">
        <v>0.35752177905066368</v>
      </c>
      <c r="G113" s="302">
        <v>0.1146846717014301</v>
      </c>
      <c r="H113" s="302">
        <f t="shared" si="53"/>
        <v>0.47220645075209378</v>
      </c>
      <c r="I113" s="303"/>
      <c r="J113" s="302">
        <v>0.2567331887201168</v>
      </c>
      <c r="K113" s="302">
        <v>8.6571144145211873E-2</v>
      </c>
      <c r="L113" s="302">
        <f t="shared" si="54"/>
        <v>0.34330433286532869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0.32290716600767022</v>
      </c>
      <c r="C114" s="302">
        <v>5.5942498378263053E-2</v>
      </c>
      <c r="D114" s="302">
        <f t="shared" si="52"/>
        <v>0.37884966438593326</v>
      </c>
      <c r="E114" s="303"/>
      <c r="F114" s="302">
        <v>0.2596512425945452</v>
      </c>
      <c r="G114" s="302">
        <v>5.7432456631419021E-2</v>
      </c>
      <c r="H114" s="302">
        <f t="shared" si="53"/>
        <v>0.31708369922596424</v>
      </c>
      <c r="I114" s="303"/>
      <c r="J114" s="302">
        <v>0.16640167577066553</v>
      </c>
      <c r="K114" s="302">
        <v>4.6514691924244227E-2</v>
      </c>
      <c r="L114" s="302">
        <f t="shared" si="54"/>
        <v>0.21291636769490976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0.17458501513261521</v>
      </c>
      <c r="C115" s="302">
        <v>0.43960583073937154</v>
      </c>
      <c r="D115" s="302">
        <f t="shared" si="52"/>
        <v>0.61419084587198669</v>
      </c>
      <c r="E115" s="303"/>
      <c r="F115" s="302">
        <v>0.36705227980978855</v>
      </c>
      <c r="G115" s="302">
        <v>0.35733882534286876</v>
      </c>
      <c r="H115" s="302">
        <f t="shared" si="53"/>
        <v>0.72439110515265726</v>
      </c>
      <c r="I115" s="303"/>
      <c r="J115" s="302">
        <v>0.2249512840468352</v>
      </c>
      <c r="K115" s="302">
        <v>0.25305761292348322</v>
      </c>
      <c r="L115" s="302">
        <f t="shared" si="54"/>
        <v>0.47800889697031845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1.3817352923374262E-2</v>
      </c>
      <c r="C116" s="302">
        <v>2.311574647237382E-2</v>
      </c>
      <c r="D116" s="302">
        <f t="shared" si="52"/>
        <v>3.6933099395748084E-2</v>
      </c>
      <c r="E116" s="303"/>
      <c r="F116" s="302">
        <v>0.157338379041326</v>
      </c>
      <c r="G116" s="302">
        <v>2.8768208179346593E-2</v>
      </c>
      <c r="H116" s="302">
        <f t="shared" si="53"/>
        <v>0.18610658722067258</v>
      </c>
      <c r="I116" s="303"/>
      <c r="J116" s="302">
        <v>0.17576844483786333</v>
      </c>
      <c r="K116" s="302">
        <v>3.426816527325096E-2</v>
      </c>
      <c r="L116" s="302">
        <f t="shared" si="54"/>
        <v>0.2100366101111143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0.14606001150574136</v>
      </c>
      <c r="C117" s="302">
        <v>3.9384422419599774E-2</v>
      </c>
      <c r="D117" s="302">
        <f t="shared" si="52"/>
        <v>0.18544443392534113</v>
      </c>
      <c r="E117" s="303"/>
      <c r="F117" s="302">
        <v>0.12796470467198862</v>
      </c>
      <c r="G117" s="302">
        <v>3.7477620741430212E-2</v>
      </c>
      <c r="H117" s="302">
        <f t="shared" si="53"/>
        <v>0.16544232541341883</v>
      </c>
      <c r="I117" s="303"/>
      <c r="J117" s="302">
        <v>7.6891095391283582E-2</v>
      </c>
      <c r="K117" s="302">
        <v>3.5119124529640479E-2</v>
      </c>
      <c r="L117" s="302">
        <f t="shared" si="54"/>
        <v>0.11201021992092405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0.35846747765757653</v>
      </c>
      <c r="C118" s="302">
        <v>0.29021161213946972</v>
      </c>
      <c r="D118" s="302">
        <f t="shared" si="52"/>
        <v>0.64867908979704625</v>
      </c>
      <c r="E118" s="303"/>
      <c r="F118" s="302">
        <v>0.17360721401647136</v>
      </c>
      <c r="G118" s="302">
        <v>0.24780266503091578</v>
      </c>
      <c r="H118" s="302">
        <f t="shared" si="53"/>
        <v>0.42140987904738714</v>
      </c>
      <c r="I118" s="303"/>
      <c r="J118" s="302">
        <v>9.1063707136282021E-2</v>
      </c>
      <c r="K118" s="302">
        <v>0.21187114796123641</v>
      </c>
      <c r="L118" s="302">
        <f t="shared" si="54"/>
        <v>0.30293485509751844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8.3915137611367902E-2</v>
      </c>
      <c r="C119" s="302">
        <v>0.55271132240353604</v>
      </c>
      <c r="D119" s="302">
        <f t="shared" si="52"/>
        <v>0.63662646001490397</v>
      </c>
      <c r="E119" s="303"/>
      <c r="F119" s="302">
        <v>0.16470632391495882</v>
      </c>
      <c r="G119" s="302">
        <v>0.46583658774910547</v>
      </c>
      <c r="H119" s="302">
        <f t="shared" si="53"/>
        <v>0.63054291166406429</v>
      </c>
      <c r="I119" s="303"/>
      <c r="J119" s="302">
        <v>0.1440321490081477</v>
      </c>
      <c r="K119" s="302">
        <v>0.26738365248259532</v>
      </c>
      <c r="L119" s="302">
        <f t="shared" si="54"/>
        <v>0.41141580149074303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32</v>
      </c>
      <c r="B121" s="311">
        <f>SUM(B111:B119)</f>
        <v>1.5479999999945524</v>
      </c>
      <c r="C121" s="311">
        <f t="shared" ref="C121:D121" si="55">SUM(C111:C119)</f>
        <v>1.7650000000069124</v>
      </c>
      <c r="D121" s="311">
        <f t="shared" si="55"/>
        <v>3.3130000000014652</v>
      </c>
      <c r="E121" s="311"/>
      <c r="F121" s="311">
        <f t="shared" ref="F121:H121" si="56">SUM(F111:F119)</f>
        <v>2.129999999981862</v>
      </c>
      <c r="G121" s="311">
        <f t="shared" si="56"/>
        <v>1.6150000000174114</v>
      </c>
      <c r="H121" s="311">
        <f t="shared" si="56"/>
        <v>3.7449999999992736</v>
      </c>
      <c r="I121" s="311"/>
      <c r="J121" s="311">
        <f t="shared" ref="J121:L121" si="57">SUM(J111:J119)</f>
        <v>1.5590000000026658</v>
      </c>
      <c r="K121" s="311">
        <f t="shared" si="57"/>
        <v>1.2030000000185281</v>
      </c>
      <c r="L121" s="311">
        <f t="shared" si="57"/>
        <v>2.7620000000211937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name!A10</f>
        <v xml:space="preserve">Wood and cork </v>
      </c>
      <c r="B125" s="372">
        <f>B$6</f>
        <v>2015</v>
      </c>
      <c r="C125" s="372"/>
      <c r="D125" s="372"/>
      <c r="E125" s="253"/>
      <c r="F125" s="372">
        <f>F108</f>
        <v>2020</v>
      </c>
      <c r="G125" s="372"/>
      <c r="H125" s="372"/>
      <c r="I125" s="253"/>
      <c r="J125" s="372">
        <f>J108</f>
        <v>2035</v>
      </c>
      <c r="K125" s="372"/>
      <c r="L125" s="372"/>
      <c r="M125" s="236"/>
      <c r="N125" s="236"/>
    </row>
    <row r="126" spans="1:14" x14ac:dyDescent="0.2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0.19052866324059392</v>
      </c>
      <c r="C128" s="302">
        <v>0.29150161050884033</v>
      </c>
      <c r="D128" s="302">
        <f>SUM(B128:C128)</f>
        <v>0.48203027374943425</v>
      </c>
      <c r="E128" s="303"/>
      <c r="F128" s="302">
        <v>0.19870522694085116</v>
      </c>
      <c r="G128" s="302">
        <v>0.25034691265305598</v>
      </c>
      <c r="H128" s="302">
        <f>SUM(F128:G128)</f>
        <v>0.44905213959390711</v>
      </c>
      <c r="I128" s="303"/>
      <c r="J128" s="302">
        <v>0.2302582683458167</v>
      </c>
      <c r="K128" s="302">
        <v>0.25831117892468169</v>
      </c>
      <c r="L128" s="302">
        <f>SUM(J128:K128)</f>
        <v>0.48856944727049839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0.17943850025711708</v>
      </c>
      <c r="C129" s="302">
        <v>0.1795281121029576</v>
      </c>
      <c r="D129" s="302">
        <f t="shared" ref="D129:D136" si="58">SUM(B129:C129)</f>
        <v>0.35896661236007466</v>
      </c>
      <c r="E129" s="303"/>
      <c r="F129" s="302">
        <v>0.19554905127438901</v>
      </c>
      <c r="G129" s="302">
        <v>0.17601804218600217</v>
      </c>
      <c r="H129" s="302">
        <f t="shared" ref="H129:H136" si="59">SUM(F129:G129)</f>
        <v>0.37156709346039118</v>
      </c>
      <c r="I129" s="303"/>
      <c r="J129" s="302">
        <v>0.23896497214439189</v>
      </c>
      <c r="K129" s="302">
        <v>0.20452149482914722</v>
      </c>
      <c r="L129" s="302">
        <f t="shared" ref="L129:L136" si="60">SUM(J129:K129)</f>
        <v>0.44348646697353911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0.16950051300229563</v>
      </c>
      <c r="C130" s="302">
        <v>0.27641243449458558</v>
      </c>
      <c r="D130" s="302">
        <f t="shared" si="58"/>
        <v>0.44591294749688121</v>
      </c>
      <c r="E130" s="303"/>
      <c r="F130" s="302">
        <v>0.15629255598489181</v>
      </c>
      <c r="G130" s="302">
        <v>0.24595031790179467</v>
      </c>
      <c r="H130" s="302">
        <f t="shared" si="59"/>
        <v>0.40224287388668645</v>
      </c>
      <c r="I130" s="303"/>
      <c r="J130" s="302">
        <v>0.16521173438839984</v>
      </c>
      <c r="K130" s="302">
        <v>0.23927155287075516</v>
      </c>
      <c r="L130" s="302">
        <f t="shared" si="60"/>
        <v>0.404483287259155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0.54280012178264592</v>
      </c>
      <c r="C131" s="302">
        <v>0.1198929392788895</v>
      </c>
      <c r="D131" s="302">
        <f t="shared" si="58"/>
        <v>0.66269306106153536</v>
      </c>
      <c r="E131" s="303"/>
      <c r="F131" s="302">
        <v>0.18559286051717283</v>
      </c>
      <c r="G131" s="302">
        <v>9.3482004768759258E-2</v>
      </c>
      <c r="H131" s="302">
        <f t="shared" si="59"/>
        <v>0.27907486528593206</v>
      </c>
      <c r="I131" s="303"/>
      <c r="J131" s="302">
        <v>0.14457618067008227</v>
      </c>
      <c r="K131" s="302">
        <v>9.6202255267876666E-2</v>
      </c>
      <c r="L131" s="302">
        <f t="shared" si="60"/>
        <v>0.24077843593795895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6.573938997269993E-2</v>
      </c>
      <c r="C132" s="302">
        <v>2.2803290524369406</v>
      </c>
      <c r="D132" s="302">
        <f t="shared" si="58"/>
        <v>2.3460684424096407</v>
      </c>
      <c r="E132" s="303"/>
      <c r="F132" s="302">
        <v>3.6571862771636307E-2</v>
      </c>
      <c r="G132" s="302">
        <v>1.4413388532353508</v>
      </c>
      <c r="H132" s="302">
        <f t="shared" si="59"/>
        <v>1.4779107160069871</v>
      </c>
      <c r="I132" s="303"/>
      <c r="J132" s="302">
        <v>6.7054711109499954E-2</v>
      </c>
      <c r="K132" s="302">
        <v>1.379779179429466</v>
      </c>
      <c r="L132" s="302">
        <f t="shared" si="60"/>
        <v>1.4468338905389659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6.4431252522991686E-2</v>
      </c>
      <c r="C133" s="302">
        <v>5.028396438179597E-2</v>
      </c>
      <c r="D133" s="302">
        <f t="shared" si="58"/>
        <v>0.11471521690478766</v>
      </c>
      <c r="E133" s="303"/>
      <c r="F133" s="302">
        <v>7.6031165553562485E-2</v>
      </c>
      <c r="G133" s="302">
        <v>5.0043601494445734E-2</v>
      </c>
      <c r="H133" s="302">
        <f t="shared" si="59"/>
        <v>0.12607476704800821</v>
      </c>
      <c r="I133" s="303"/>
      <c r="J133" s="302">
        <v>8.8776202809181096E-2</v>
      </c>
      <c r="K133" s="302">
        <v>6.8530941973816317E-2</v>
      </c>
      <c r="L133" s="302">
        <f t="shared" si="60"/>
        <v>0.1573071447829974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0.11147118589299013</v>
      </c>
      <c r="C134" s="302">
        <v>9.2763108430823984E-2</v>
      </c>
      <c r="D134" s="302">
        <f>SUM(B134:C134)</f>
        <v>0.20423429432381413</v>
      </c>
      <c r="E134" s="303"/>
      <c r="F134" s="302">
        <v>5.392481214837902E-2</v>
      </c>
      <c r="G134" s="302">
        <v>6.0511525032877239E-2</v>
      </c>
      <c r="H134" s="302">
        <f t="shared" si="59"/>
        <v>0.11443633718125626</v>
      </c>
      <c r="I134" s="303"/>
      <c r="J134" s="302">
        <v>4.6558733852492269E-2</v>
      </c>
      <c r="K134" s="302">
        <v>6.8951619486014901E-2</v>
      </c>
      <c r="L134" s="302">
        <f t="shared" si="60"/>
        <v>0.11551035333850718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4.3007944983736383E-2</v>
      </c>
      <c r="C135" s="302">
        <v>1.0667517441660859</v>
      </c>
      <c r="D135" s="302">
        <f t="shared" si="58"/>
        <v>1.1097596891498223</v>
      </c>
      <c r="E135" s="303"/>
      <c r="F135" s="302">
        <v>2.2840046354283338E-2</v>
      </c>
      <c r="G135" s="302">
        <v>0.68674355572220813</v>
      </c>
      <c r="H135" s="302">
        <f t="shared" si="59"/>
        <v>0.70958360207649152</v>
      </c>
      <c r="I135" s="303"/>
      <c r="J135" s="302">
        <v>1.8608673400093811E-2</v>
      </c>
      <c r="K135" s="302">
        <v>0.73587854272208297</v>
      </c>
      <c r="L135" s="302">
        <f t="shared" si="60"/>
        <v>0.75448721612217673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8.0082428339237469E-2</v>
      </c>
      <c r="C136" s="302">
        <v>0.61953703420433837</v>
      </c>
      <c r="D136" s="302">
        <f t="shared" si="58"/>
        <v>0.69961946254357588</v>
      </c>
      <c r="E136" s="303"/>
      <c r="F136" s="302">
        <v>8.1492418446377848E-2</v>
      </c>
      <c r="G136" s="302">
        <v>0.47056518702408778</v>
      </c>
      <c r="H136" s="302">
        <f t="shared" si="59"/>
        <v>0.55205760547046567</v>
      </c>
      <c r="I136" s="303"/>
      <c r="J136" s="302">
        <v>7.9990523283369891E-2</v>
      </c>
      <c r="K136" s="302">
        <v>0.41455323452986881</v>
      </c>
      <c r="L136" s="302">
        <f t="shared" si="60"/>
        <v>0.49454375781323867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32</v>
      </c>
      <c r="B138" s="311">
        <f>SUM(B128:B136)</f>
        <v>1.4469999999943082</v>
      </c>
      <c r="C138" s="311">
        <f t="shared" ref="C138" si="61">SUM(C128:C136)</f>
        <v>4.9770000000052583</v>
      </c>
      <c r="D138" s="311">
        <f>SUM(D128:D136)</f>
        <v>6.4239999999995661</v>
      </c>
      <c r="E138" s="311"/>
      <c r="F138" s="311">
        <f t="shared" ref="F138:H138" si="62">SUM(F128:F136)</f>
        <v>1.0069999999915438</v>
      </c>
      <c r="G138" s="311">
        <f t="shared" si="62"/>
        <v>3.4750000000185817</v>
      </c>
      <c r="H138" s="311">
        <f t="shared" si="62"/>
        <v>4.4820000000101254</v>
      </c>
      <c r="I138" s="311"/>
      <c r="J138" s="311">
        <f t="shared" ref="J138:L138" si="63">SUM(J128:J136)</f>
        <v>1.0800000000033279</v>
      </c>
      <c r="K138" s="311">
        <f t="shared" si="63"/>
        <v>3.4660000000337092</v>
      </c>
      <c r="L138" s="311">
        <f t="shared" si="63"/>
        <v>4.5460000000370373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name!A11</f>
        <v>Paper, etc</v>
      </c>
      <c r="B142" s="372">
        <f>B$6</f>
        <v>2015</v>
      </c>
      <c r="C142" s="372"/>
      <c r="D142" s="372"/>
      <c r="E142" s="253"/>
      <c r="F142" s="372">
        <f>F125</f>
        <v>2020</v>
      </c>
      <c r="G142" s="372"/>
      <c r="H142" s="372"/>
      <c r="I142" s="253"/>
      <c r="J142" s="372">
        <f>J125</f>
        <v>2035</v>
      </c>
      <c r="K142" s="372"/>
      <c r="L142" s="372"/>
      <c r="M142" s="236"/>
      <c r="N142" s="236"/>
    </row>
    <row r="143" spans="1:14" x14ac:dyDescent="0.2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2.6492628926622557E-2</v>
      </c>
      <c r="C145" s="302">
        <v>0.67730277083608892</v>
      </c>
      <c r="D145" s="302">
        <f>SUM(B145:C145)</f>
        <v>0.70379539976271144</v>
      </c>
      <c r="E145" s="303"/>
      <c r="F145" s="302">
        <v>4.9803691563963894E-2</v>
      </c>
      <c r="G145" s="302">
        <v>0.56633572121680842</v>
      </c>
      <c r="H145" s="302">
        <f>SUM(F145:G145)</f>
        <v>0.61613941278077233</v>
      </c>
      <c r="I145" s="303"/>
      <c r="J145" s="302">
        <v>5.5826317936397259E-2</v>
      </c>
      <c r="K145" s="302">
        <v>0.65499616260339566</v>
      </c>
      <c r="L145" s="302">
        <f>SUM(J145:K145)</f>
        <v>0.71082248053979291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3.3152794380043461E-2</v>
      </c>
      <c r="C146" s="302">
        <v>0.4036097730870748</v>
      </c>
      <c r="D146" s="302">
        <f t="shared" ref="D146:D153" si="64">SUM(B146:C146)</f>
        <v>0.43676256746711828</v>
      </c>
      <c r="E146" s="303"/>
      <c r="F146" s="302">
        <v>5.6188181477698565E-2</v>
      </c>
      <c r="G146" s="302">
        <v>0.42948976381263637</v>
      </c>
      <c r="H146" s="302">
        <f t="shared" ref="H146:H153" si="65">SUM(F146:G146)</f>
        <v>0.48567794529033492</v>
      </c>
      <c r="I146" s="303"/>
      <c r="J146" s="302">
        <v>6.7894285365291449E-2</v>
      </c>
      <c r="K146" s="302">
        <v>0.55421254299395994</v>
      </c>
      <c r="L146" s="302">
        <f t="shared" ref="L146:L153" si="66">SUM(J146:K146)</f>
        <v>0.62210682835925135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5.9569156595814396E-2</v>
      </c>
      <c r="C147" s="302">
        <v>0.4466522720172374</v>
      </c>
      <c r="D147" s="302">
        <f t="shared" si="64"/>
        <v>0.50622142861305175</v>
      </c>
      <c r="E147" s="303"/>
      <c r="F147" s="302">
        <v>0.10074640153479428</v>
      </c>
      <c r="G147" s="302">
        <v>0.38964369135275745</v>
      </c>
      <c r="H147" s="302">
        <f t="shared" si="65"/>
        <v>0.49039009288755175</v>
      </c>
      <c r="I147" s="303"/>
      <c r="J147" s="302">
        <v>0.10635914152358651</v>
      </c>
      <c r="K147" s="302">
        <v>0.39965516735248857</v>
      </c>
      <c r="L147" s="302">
        <f t="shared" si="66"/>
        <v>0.50601430887607513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6.6454129041153609E-2</v>
      </c>
      <c r="C148" s="302">
        <v>0.22913290681500162</v>
      </c>
      <c r="D148" s="302">
        <f t="shared" si="64"/>
        <v>0.2955870358561552</v>
      </c>
      <c r="E148" s="303"/>
      <c r="F148" s="302">
        <v>5.6644536076641154E-2</v>
      </c>
      <c r="G148" s="302">
        <v>0.19858281479033477</v>
      </c>
      <c r="H148" s="302">
        <f t="shared" si="65"/>
        <v>0.2552273508669759</v>
      </c>
      <c r="I148" s="303"/>
      <c r="J148" s="302">
        <v>4.1192494167433702E-2</v>
      </c>
      <c r="K148" s="302">
        <v>0.23003400883971348</v>
      </c>
      <c r="L148" s="302">
        <f t="shared" si="66"/>
        <v>0.27122650300714718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9.0960090016070534E-3</v>
      </c>
      <c r="C149" s="302">
        <v>1.1820699494893689</v>
      </c>
      <c r="D149" s="302">
        <f t="shared" si="64"/>
        <v>1.191165958490976</v>
      </c>
      <c r="E149" s="303"/>
      <c r="F149" s="302">
        <v>1.4636638269233277E-2</v>
      </c>
      <c r="G149" s="302">
        <v>0.78408364241420914</v>
      </c>
      <c r="H149" s="302">
        <f t="shared" si="65"/>
        <v>0.79872028068344236</v>
      </c>
      <c r="I149" s="303"/>
      <c r="J149" s="302">
        <v>2.116076203567261E-2</v>
      </c>
      <c r="K149" s="302">
        <v>0.6927238402350604</v>
      </c>
      <c r="L149" s="302">
        <f t="shared" si="66"/>
        <v>0.71388460227073303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1.0940276786662534E-2</v>
      </c>
      <c r="C150" s="302">
        <v>2.1822153680757652E-2</v>
      </c>
      <c r="D150" s="302">
        <f t="shared" si="64"/>
        <v>3.2762430467420188E-2</v>
      </c>
      <c r="E150" s="303"/>
      <c r="F150" s="302">
        <v>2.2160723350677012E-2</v>
      </c>
      <c r="G150" s="302">
        <v>1.835347425043168E-2</v>
      </c>
      <c r="H150" s="302">
        <f t="shared" si="65"/>
        <v>4.0514197601108692E-2</v>
      </c>
      <c r="I150" s="303"/>
      <c r="J150" s="302">
        <v>2.112916859804714E-2</v>
      </c>
      <c r="K150" s="302">
        <v>2.0945099203803542E-2</v>
      </c>
      <c r="L150" s="302">
        <f t="shared" si="66"/>
        <v>4.2074267801850682E-2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2.4583181032015525E-2</v>
      </c>
      <c r="C151" s="302">
        <v>0.13056678465912286</v>
      </c>
      <c r="D151" s="302">
        <f t="shared" si="64"/>
        <v>0.15514996569113837</v>
      </c>
      <c r="E151" s="303"/>
      <c r="F151" s="302">
        <v>2.2868682801269767E-2</v>
      </c>
      <c r="G151" s="302">
        <v>7.4153110709151843E-2</v>
      </c>
      <c r="H151" s="302">
        <f t="shared" si="65"/>
        <v>9.7021793510421617E-2</v>
      </c>
      <c r="I151" s="303"/>
      <c r="J151" s="302">
        <v>2.3912988425621309E-2</v>
      </c>
      <c r="K151" s="302">
        <v>9.9557812404566959E-2</v>
      </c>
      <c r="L151" s="302">
        <f t="shared" si="66"/>
        <v>0.12347080083018827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1.2670516091251503E-2</v>
      </c>
      <c r="C152" s="302">
        <v>0.98708323682163146</v>
      </c>
      <c r="D152" s="302">
        <f t="shared" si="64"/>
        <v>0.99975375291288293</v>
      </c>
      <c r="E152" s="303"/>
      <c r="F152" s="302">
        <v>1.9761960836506148E-2</v>
      </c>
      <c r="G152" s="302">
        <v>0.76352658767545722</v>
      </c>
      <c r="H152" s="302">
        <f t="shared" si="65"/>
        <v>0.78328854851196339</v>
      </c>
      <c r="I152" s="303"/>
      <c r="J152" s="302">
        <v>3.7934447647441576E-2</v>
      </c>
      <c r="K152" s="302">
        <v>0.73394960170622192</v>
      </c>
      <c r="L152" s="302">
        <f t="shared" si="66"/>
        <v>0.7718840493536635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3.5041308144041251E-2</v>
      </c>
      <c r="C153" s="302">
        <v>0.5347601526086071</v>
      </c>
      <c r="D153" s="302">
        <f t="shared" si="64"/>
        <v>0.56980146075264837</v>
      </c>
      <c r="E153" s="303"/>
      <c r="F153" s="302">
        <v>4.518918408448977E-2</v>
      </c>
      <c r="G153" s="302">
        <v>0.34383119380036631</v>
      </c>
      <c r="H153" s="302">
        <f t="shared" si="65"/>
        <v>0.38902037788485611</v>
      </c>
      <c r="I153" s="303"/>
      <c r="J153" s="302">
        <v>5.1590394300889152E-2</v>
      </c>
      <c r="K153" s="302">
        <v>0.26692576470254825</v>
      </c>
      <c r="L153" s="302">
        <f t="shared" si="66"/>
        <v>0.31851615900343738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32</v>
      </c>
      <c r="B155" s="311">
        <f>SUM(B145:B153)</f>
        <v>0.27799999999921188</v>
      </c>
      <c r="C155" s="311">
        <f t="shared" ref="C155:D155" si="67">SUM(C145:C153)</f>
        <v>4.6130000000148907</v>
      </c>
      <c r="D155" s="311">
        <f t="shared" si="67"/>
        <v>4.8910000000141025</v>
      </c>
      <c r="E155" s="311"/>
      <c r="F155" s="311">
        <f t="shared" ref="F155:H155" si="68">SUM(F145:F153)</f>
        <v>0.3879999999952739</v>
      </c>
      <c r="G155" s="311">
        <f t="shared" si="68"/>
        <v>3.5680000000221535</v>
      </c>
      <c r="H155" s="311">
        <f t="shared" si="68"/>
        <v>3.9560000000174274</v>
      </c>
      <c r="I155" s="311"/>
      <c r="J155" s="311">
        <f t="shared" ref="J155:L155" si="69">SUM(J145:J153)</f>
        <v>0.42700000000038069</v>
      </c>
      <c r="K155" s="311">
        <f t="shared" si="69"/>
        <v>3.6530000000417591</v>
      </c>
      <c r="L155" s="311">
        <f t="shared" si="69"/>
        <v>4.0800000000421397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name!A12</f>
        <v>Printing and recording</v>
      </c>
      <c r="B159" s="372">
        <f>B$6</f>
        <v>2015</v>
      </c>
      <c r="C159" s="372"/>
      <c r="D159" s="372"/>
      <c r="E159" s="253"/>
      <c r="F159" s="372">
        <f>F142</f>
        <v>2020</v>
      </c>
      <c r="G159" s="372"/>
      <c r="H159" s="372"/>
      <c r="I159" s="253"/>
      <c r="J159" s="372">
        <f>J142</f>
        <v>2035</v>
      </c>
      <c r="K159" s="372"/>
      <c r="L159" s="372"/>
      <c r="M159" s="236"/>
      <c r="N159" s="236"/>
    </row>
    <row r="160" spans="1:14" x14ac:dyDescent="0.2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0.23171562685854372</v>
      </c>
      <c r="C162" s="302">
        <v>1.3812536200911807</v>
      </c>
      <c r="D162" s="302">
        <f>SUM(B162:C162)</f>
        <v>1.6129692469497243</v>
      </c>
      <c r="E162" s="303"/>
      <c r="F162" s="302">
        <v>0.36261355930896311</v>
      </c>
      <c r="G162" s="302">
        <v>1.5217765501437635</v>
      </c>
      <c r="H162" s="302">
        <f>SUM(F162:G162)</f>
        <v>1.8843901094527267</v>
      </c>
      <c r="I162" s="303"/>
      <c r="J162" s="302">
        <v>0.30056436653491131</v>
      </c>
      <c r="K162" s="302">
        <v>1.215191081619613</v>
      </c>
      <c r="L162" s="302">
        <f>SUM(J162:K162)</f>
        <v>1.5157554481545243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0.28551827459087198</v>
      </c>
      <c r="C163" s="302">
        <v>0.79453384385000025</v>
      </c>
      <c r="D163" s="302">
        <f t="shared" ref="D163:D170" si="70">SUM(B163:C163)</f>
        <v>1.0800521184408722</v>
      </c>
      <c r="E163" s="303"/>
      <c r="F163" s="302">
        <v>0.48528333060798451</v>
      </c>
      <c r="G163" s="302">
        <v>1.0121288420065446</v>
      </c>
      <c r="H163" s="302">
        <f t="shared" ref="H163:H170" si="71">SUM(F163:G163)</f>
        <v>1.4974121726145291</v>
      </c>
      <c r="I163" s="303"/>
      <c r="J163" s="302">
        <v>0.4362164708290529</v>
      </c>
      <c r="K163" s="302">
        <v>0.85459685436889021</v>
      </c>
      <c r="L163" s="302">
        <f t="shared" ref="L163:L170" si="72">SUM(J163:K163)</f>
        <v>1.2908133251979432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0.56861592627865165</v>
      </c>
      <c r="C164" s="302">
        <v>0.80845098507369084</v>
      </c>
      <c r="D164" s="302">
        <f t="shared" si="70"/>
        <v>1.3770669113523426</v>
      </c>
      <c r="E164" s="303"/>
      <c r="F164" s="302">
        <v>1.056781790305942</v>
      </c>
      <c r="G164" s="302">
        <v>0.92449712635129155</v>
      </c>
      <c r="H164" s="302">
        <f t="shared" si="71"/>
        <v>1.9812789166572335</v>
      </c>
      <c r="I164" s="303"/>
      <c r="J164" s="302">
        <v>0.8958761787808518</v>
      </c>
      <c r="K164" s="302">
        <v>0.62498901119354422</v>
      </c>
      <c r="L164" s="302">
        <f t="shared" si="72"/>
        <v>1.5208651899743959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0.46821662606413111</v>
      </c>
      <c r="C165" s="302">
        <v>0.28273682213662282</v>
      </c>
      <c r="D165" s="302">
        <f t="shared" si="70"/>
        <v>0.75095344820075394</v>
      </c>
      <c r="E165" s="303"/>
      <c r="F165" s="302">
        <v>0.49201055816092004</v>
      </c>
      <c r="G165" s="302">
        <v>0.34165702435118955</v>
      </c>
      <c r="H165" s="302">
        <f t="shared" si="71"/>
        <v>0.8336675825121096</v>
      </c>
      <c r="I165" s="303"/>
      <c r="J165" s="302">
        <v>0.27191775123193668</v>
      </c>
      <c r="K165" s="302">
        <v>0.26266417801258368</v>
      </c>
      <c r="L165" s="302">
        <f t="shared" si="72"/>
        <v>0.53458192924452042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8.4050632710073098E-2</v>
      </c>
      <c r="C166" s="302">
        <v>1.9481170952078701</v>
      </c>
      <c r="D166" s="302">
        <f t="shared" si="70"/>
        <v>2.0321677279179431</v>
      </c>
      <c r="E166" s="303"/>
      <c r="F166" s="302">
        <v>0.12965643273700084</v>
      </c>
      <c r="G166" s="302">
        <v>1.5017033391593446</v>
      </c>
      <c r="H166" s="302">
        <f t="shared" si="71"/>
        <v>1.6313597718963455</v>
      </c>
      <c r="I166" s="303"/>
      <c r="J166" s="302">
        <v>0.11802808833119288</v>
      </c>
      <c r="K166" s="302">
        <v>0.8903108864773408</v>
      </c>
      <c r="L166" s="302">
        <f t="shared" si="72"/>
        <v>1.0083389748085336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1.3726017006976135E-2</v>
      </c>
      <c r="C167" s="302">
        <v>1.9913762856281336E-2</v>
      </c>
      <c r="D167" s="302">
        <f t="shared" si="70"/>
        <v>3.3639779863257474E-2</v>
      </c>
      <c r="E167" s="303"/>
      <c r="F167" s="302">
        <v>2.0054459827995013E-2</v>
      </c>
      <c r="G167" s="302">
        <v>2.3968235208932306E-2</v>
      </c>
      <c r="H167" s="302">
        <f t="shared" si="71"/>
        <v>4.4022695036927323E-2</v>
      </c>
      <c r="I167" s="303"/>
      <c r="J167" s="302">
        <v>1.2761634480961495E-2</v>
      </c>
      <c r="K167" s="302">
        <v>2.0540937040849815E-2</v>
      </c>
      <c r="L167" s="302">
        <f t="shared" si="72"/>
        <v>3.3302571521811312E-2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0.20835718831974434</v>
      </c>
      <c r="C168" s="302">
        <v>0.24458116291103185</v>
      </c>
      <c r="D168" s="302">
        <f t="shared" si="70"/>
        <v>0.45293835123077619</v>
      </c>
      <c r="E168" s="303"/>
      <c r="F168" s="302">
        <v>0.21952531611545084</v>
      </c>
      <c r="G168" s="302">
        <v>0.23562261341137414</v>
      </c>
      <c r="H168" s="302">
        <f t="shared" si="71"/>
        <v>0.45514792952682498</v>
      </c>
      <c r="I168" s="303"/>
      <c r="J168" s="302">
        <v>0.15731782092318011</v>
      </c>
      <c r="K168" s="302">
        <v>0.20458690837223634</v>
      </c>
      <c r="L168" s="302">
        <f t="shared" si="72"/>
        <v>0.36190472929541645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3.1550485808505696E-2</v>
      </c>
      <c r="C169" s="302">
        <v>0.34631244650492427</v>
      </c>
      <c r="D169" s="302">
        <f t="shared" si="70"/>
        <v>0.37786293231342993</v>
      </c>
      <c r="E169" s="303"/>
      <c r="F169" s="302">
        <v>3.3510457353767641E-2</v>
      </c>
      <c r="G169" s="302">
        <v>0.32834179753511678</v>
      </c>
      <c r="H169" s="302">
        <f t="shared" si="71"/>
        <v>0.36185225488888439</v>
      </c>
      <c r="I169" s="303"/>
      <c r="J169" s="302">
        <v>2.7024489378454229E-2</v>
      </c>
      <c r="K169" s="302">
        <v>0.23961245146796956</v>
      </c>
      <c r="L169" s="302">
        <f t="shared" si="72"/>
        <v>0.26663694084642381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0.14424922236024026</v>
      </c>
      <c r="C170" s="302">
        <v>0.61310026137634532</v>
      </c>
      <c r="D170" s="302">
        <f t="shared" si="70"/>
        <v>0.75734948373658562</v>
      </c>
      <c r="E170" s="303"/>
      <c r="F170" s="302">
        <v>0.11356409553417159</v>
      </c>
      <c r="G170" s="302">
        <v>0.59030447184389478</v>
      </c>
      <c r="H170" s="302">
        <f t="shared" si="71"/>
        <v>0.70386856737806636</v>
      </c>
      <c r="I170" s="303"/>
      <c r="J170" s="302">
        <v>6.229319952592479E-2</v>
      </c>
      <c r="K170" s="302">
        <v>0.33450769147439108</v>
      </c>
      <c r="L170" s="302">
        <f t="shared" si="72"/>
        <v>0.39680089100031585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32</v>
      </c>
      <c r="B172" s="311">
        <f>SUM(B162:B170)</f>
        <v>2.0359999999977383</v>
      </c>
      <c r="C172" s="311">
        <f t="shared" ref="C172:D172" si="73">SUM(C162:C170)</f>
        <v>6.4390000000079466</v>
      </c>
      <c r="D172" s="311">
        <f t="shared" si="73"/>
        <v>8.4750000000056875</v>
      </c>
      <c r="E172" s="311"/>
      <c r="F172" s="311">
        <f t="shared" ref="F172:H172" si="74">SUM(F162:F170)</f>
        <v>2.9129999999521949</v>
      </c>
      <c r="G172" s="311">
        <f t="shared" si="74"/>
        <v>6.4800000000114526</v>
      </c>
      <c r="H172" s="311">
        <f t="shared" si="74"/>
        <v>9.3929999999636475</v>
      </c>
      <c r="I172" s="311"/>
      <c r="J172" s="311">
        <f t="shared" ref="J172:L172" si="75">SUM(J162:J170)</f>
        <v>2.2820000000164655</v>
      </c>
      <c r="K172" s="311">
        <f t="shared" si="75"/>
        <v>4.6470000000274192</v>
      </c>
      <c r="L172" s="311">
        <f t="shared" si="75"/>
        <v>6.9290000000438852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name!A13</f>
        <v>Coke and petroleum; Chemicals, etc</v>
      </c>
      <c r="B176" s="372">
        <f>B$6</f>
        <v>2015</v>
      </c>
      <c r="C176" s="372"/>
      <c r="D176" s="372"/>
      <c r="E176" s="253"/>
      <c r="F176" s="372">
        <f>F159</f>
        <v>2020</v>
      </c>
      <c r="G176" s="372"/>
      <c r="H176" s="372"/>
      <c r="I176" s="253"/>
      <c r="J176" s="372">
        <f>J159</f>
        <v>2035</v>
      </c>
      <c r="K176" s="372"/>
      <c r="L176" s="372"/>
      <c r="M176" s="236"/>
      <c r="N176" s="236"/>
    </row>
    <row r="177" spans="1:14" x14ac:dyDescent="0.2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0.307719890985936</v>
      </c>
      <c r="C179" s="302">
        <v>0.51981518526209247</v>
      </c>
      <c r="D179" s="302">
        <f>SUM(B179:C179)</f>
        <v>0.82753507624802847</v>
      </c>
      <c r="E179" s="303"/>
      <c r="F179" s="302">
        <v>0.54179524502333964</v>
      </c>
      <c r="G179" s="302">
        <v>0.65262846727847723</v>
      </c>
      <c r="H179" s="302">
        <f>SUM(F179:G179)</f>
        <v>1.1944237123018169</v>
      </c>
      <c r="I179" s="303"/>
      <c r="J179" s="302">
        <v>0.71548657471507771</v>
      </c>
      <c r="K179" s="302">
        <v>0.73157372666313147</v>
      </c>
      <c r="L179" s="302">
        <f>SUM(J179:K179)</f>
        <v>1.4470603013782091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0.29821024882605607</v>
      </c>
      <c r="C180" s="302">
        <v>1.1901837237730062</v>
      </c>
      <c r="D180" s="302">
        <f t="shared" ref="D180:D187" si="76">SUM(B180:C180)</f>
        <v>1.4883939725990623</v>
      </c>
      <c r="E180" s="303"/>
      <c r="F180" s="302">
        <v>0.56045217308205431</v>
      </c>
      <c r="G180" s="302">
        <v>1.6316007725993806</v>
      </c>
      <c r="H180" s="302">
        <f t="shared" ref="H180:H187" si="77">SUM(F180:G180)</f>
        <v>2.1920529456814348</v>
      </c>
      <c r="I180" s="303"/>
      <c r="J180" s="302">
        <v>0.81870368937273552</v>
      </c>
      <c r="K180" s="302">
        <v>2.1003413477146178</v>
      </c>
      <c r="L180" s="302">
        <f t="shared" ref="L180:L187" si="78">SUM(J180:K180)</f>
        <v>2.9190450370873533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0.38828519393098176</v>
      </c>
      <c r="C181" s="302">
        <v>0.58799671848065782</v>
      </c>
      <c r="D181" s="302">
        <f t="shared" si="76"/>
        <v>0.97628191241163953</v>
      </c>
      <c r="E181" s="303"/>
      <c r="F181" s="302">
        <v>0.65115639396224345</v>
      </c>
      <c r="G181" s="302">
        <v>0.8083291275585377</v>
      </c>
      <c r="H181" s="302">
        <f t="shared" si="77"/>
        <v>1.4594855215207811</v>
      </c>
      <c r="I181" s="303"/>
      <c r="J181" s="302">
        <v>0.8356754285229604</v>
      </c>
      <c r="K181" s="302">
        <v>0.84736763878728494</v>
      </c>
      <c r="L181" s="302">
        <f t="shared" si="78"/>
        <v>1.6830430673102454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0.28578861467642275</v>
      </c>
      <c r="C182" s="302">
        <v>0.37449392281170746</v>
      </c>
      <c r="D182" s="302">
        <f t="shared" si="76"/>
        <v>0.66028253748813026</v>
      </c>
      <c r="E182" s="303"/>
      <c r="F182" s="302">
        <v>0.39389886088716691</v>
      </c>
      <c r="G182" s="302">
        <v>0.46780832340822015</v>
      </c>
      <c r="H182" s="302">
        <f t="shared" si="77"/>
        <v>0.86170718429538706</v>
      </c>
      <c r="I182" s="303"/>
      <c r="J182" s="302">
        <v>0.4003155022914861</v>
      </c>
      <c r="K182" s="302">
        <v>0.55738085622768108</v>
      </c>
      <c r="L182" s="302">
        <f t="shared" si="78"/>
        <v>0.95769635851916712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2.5749326072155569E-2</v>
      </c>
      <c r="C183" s="302">
        <v>0.40221668671604904</v>
      </c>
      <c r="D183" s="302">
        <f t="shared" si="76"/>
        <v>0.42796601278820462</v>
      </c>
      <c r="E183" s="303"/>
      <c r="F183" s="302">
        <v>5.2116267247711734E-2</v>
      </c>
      <c r="G183" s="302">
        <v>0.36817817868088087</v>
      </c>
      <c r="H183" s="302">
        <f t="shared" si="77"/>
        <v>0.42029444592859261</v>
      </c>
      <c r="I183" s="303"/>
      <c r="J183" s="302">
        <v>0.11380999032618928</v>
      </c>
      <c r="K183" s="302">
        <v>0.37111673674610962</v>
      </c>
      <c r="L183" s="302">
        <f t="shared" si="78"/>
        <v>0.48492672707229889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4.5925090273676451E-2</v>
      </c>
      <c r="C184" s="302">
        <v>2.9861931150621874E-2</v>
      </c>
      <c r="D184" s="302">
        <f t="shared" si="76"/>
        <v>7.5787021424298329E-2</v>
      </c>
      <c r="E184" s="303"/>
      <c r="F184" s="302">
        <v>0.16730474557860203</v>
      </c>
      <c r="G184" s="302">
        <v>3.9794926521239955E-2</v>
      </c>
      <c r="H184" s="302">
        <f t="shared" si="77"/>
        <v>0.20709967209984198</v>
      </c>
      <c r="I184" s="303"/>
      <c r="J184" s="302">
        <v>0.18712727021489101</v>
      </c>
      <c r="K184" s="302">
        <v>6.4266717714578092E-2</v>
      </c>
      <c r="L184" s="302">
        <f t="shared" si="78"/>
        <v>0.2513939879294691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0.15233219382748023</v>
      </c>
      <c r="C185" s="302">
        <v>6.8445548468077197E-2</v>
      </c>
      <c r="D185" s="302">
        <f t="shared" si="76"/>
        <v>0.22077774229555741</v>
      </c>
      <c r="E185" s="303"/>
      <c r="F185" s="302">
        <v>0.21195408391197446</v>
      </c>
      <c r="G185" s="302">
        <v>7.8923116149021311E-2</v>
      </c>
      <c r="H185" s="302">
        <f t="shared" si="77"/>
        <v>0.29087720006099577</v>
      </c>
      <c r="I185" s="303"/>
      <c r="J185" s="302">
        <v>0.24373544377430106</v>
      </c>
      <c r="K185" s="302">
        <v>0.11522341854487085</v>
      </c>
      <c r="L185" s="302">
        <f t="shared" si="78"/>
        <v>0.3589588623191719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0.1799616853872873</v>
      </c>
      <c r="C186" s="302">
        <v>0.33790327399915593</v>
      </c>
      <c r="D186" s="302">
        <f t="shared" si="76"/>
        <v>0.51786495938644328</v>
      </c>
      <c r="E186" s="303"/>
      <c r="F186" s="302">
        <v>0.33128010048098733</v>
      </c>
      <c r="G186" s="302">
        <v>0.30241644280417235</v>
      </c>
      <c r="H186" s="302">
        <f t="shared" si="77"/>
        <v>0.63369654328515967</v>
      </c>
      <c r="I186" s="303"/>
      <c r="J186" s="302">
        <v>0.31882986042733613</v>
      </c>
      <c r="K186" s="302">
        <v>0.23312929913376593</v>
      </c>
      <c r="L186" s="302">
        <f t="shared" si="78"/>
        <v>0.55195915956110209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0.13702775601078648</v>
      </c>
      <c r="C187" s="302">
        <v>0.33008300932966256</v>
      </c>
      <c r="D187" s="302">
        <f t="shared" si="76"/>
        <v>0.46711076534044904</v>
      </c>
      <c r="E187" s="303"/>
      <c r="F187" s="302">
        <v>0.31504212979652796</v>
      </c>
      <c r="G187" s="302">
        <v>0.30032064498601696</v>
      </c>
      <c r="H187" s="302">
        <f t="shared" si="77"/>
        <v>0.61536277478254497</v>
      </c>
      <c r="I187" s="303"/>
      <c r="J187" s="302">
        <v>0.29231624036078802</v>
      </c>
      <c r="K187" s="302">
        <v>0.25260025846111411</v>
      </c>
      <c r="L187" s="302">
        <f t="shared" si="78"/>
        <v>0.54491649882190218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32</v>
      </c>
      <c r="B189" s="311">
        <f>SUM(B179:B187)</f>
        <v>1.8209999999907824</v>
      </c>
      <c r="C189" s="311">
        <f t="shared" ref="C189:D189" si="79">SUM(C179:C187)</f>
        <v>3.8409999999910309</v>
      </c>
      <c r="D189" s="311">
        <f t="shared" si="79"/>
        <v>5.6619999999818127</v>
      </c>
      <c r="E189" s="311"/>
      <c r="F189" s="311">
        <f t="shared" ref="F189:H189" si="80">SUM(F179:F187)</f>
        <v>3.2249999999706085</v>
      </c>
      <c r="G189" s="311">
        <f t="shared" si="80"/>
        <v>4.6499999999859467</v>
      </c>
      <c r="H189" s="311">
        <f t="shared" si="80"/>
        <v>7.8749999999565548</v>
      </c>
      <c r="I189" s="311"/>
      <c r="J189" s="311">
        <f t="shared" ref="J189:L189" si="81">SUM(J179:J187)</f>
        <v>3.9260000000057653</v>
      </c>
      <c r="K189" s="311">
        <f t="shared" si="81"/>
        <v>5.2729999999931536</v>
      </c>
      <c r="L189" s="311">
        <f t="shared" si="81"/>
        <v>9.198999999998918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name!A14</f>
        <v>Pharmaceuticals</v>
      </c>
      <c r="B193" s="372">
        <f>B$6</f>
        <v>2015</v>
      </c>
      <c r="C193" s="372"/>
      <c r="D193" s="372"/>
      <c r="E193" s="253"/>
      <c r="F193" s="372">
        <f>F176</f>
        <v>2020</v>
      </c>
      <c r="G193" s="372"/>
      <c r="H193" s="372"/>
      <c r="I193" s="253"/>
      <c r="J193" s="372">
        <f>J176</f>
        <v>2035</v>
      </c>
      <c r="K193" s="372"/>
      <c r="L193" s="372"/>
      <c r="M193" s="236"/>
      <c r="N193" s="236"/>
    </row>
    <row r="194" spans="1:14" x14ac:dyDescent="0.2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9.5016059600201111E-2</v>
      </c>
      <c r="C196" s="302">
        <v>0.25717822497948239</v>
      </c>
      <c r="D196" s="302">
        <f>SUM(B196:C196)</f>
        <v>0.35219428457968349</v>
      </c>
      <c r="E196" s="303"/>
      <c r="F196" s="302">
        <v>0.26587396266991348</v>
      </c>
      <c r="G196" s="302">
        <v>0.45329295906430006</v>
      </c>
      <c r="H196" s="302">
        <f>SUM(F196:G196)</f>
        <v>0.71916692173421359</v>
      </c>
      <c r="I196" s="303"/>
      <c r="J196" s="302">
        <v>0.31784447884202272</v>
      </c>
      <c r="K196" s="302">
        <v>0.54770052523930923</v>
      </c>
      <c r="L196" s="302">
        <f>SUM(J196:K196)</f>
        <v>0.86554500408133195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0.25948517834643497</v>
      </c>
      <c r="C197" s="302">
        <v>0.65924297628437378</v>
      </c>
      <c r="D197" s="302">
        <f t="shared" ref="D197:D204" si="82">SUM(B197:C197)</f>
        <v>0.91872815463080881</v>
      </c>
      <c r="E197" s="303"/>
      <c r="F197" s="302">
        <v>0.66709834006361446</v>
      </c>
      <c r="G197" s="302">
        <v>1.2124688400041683</v>
      </c>
      <c r="H197" s="302">
        <f t="shared" ref="H197:H204" si="83">SUM(F197:G197)</f>
        <v>1.8795671800677827</v>
      </c>
      <c r="I197" s="303"/>
      <c r="J197" s="302">
        <v>0.81180637985618609</v>
      </c>
      <c r="K197" s="302">
        <v>1.5290344552372781</v>
      </c>
      <c r="L197" s="302">
        <f t="shared" ref="L197:L204" si="84">SUM(J197:K197)</f>
        <v>2.3408408350934642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0.25055225035311846</v>
      </c>
      <c r="C198" s="302">
        <v>0.26961667475164924</v>
      </c>
      <c r="D198" s="302">
        <f t="shared" si="82"/>
        <v>0.52016892510476764</v>
      </c>
      <c r="E198" s="303"/>
      <c r="F198" s="302">
        <v>0.58946689615163339</v>
      </c>
      <c r="G198" s="302">
        <v>0.49707351148863599</v>
      </c>
      <c r="H198" s="302">
        <f t="shared" si="83"/>
        <v>1.0865404076402694</v>
      </c>
      <c r="I198" s="303"/>
      <c r="J198" s="302">
        <v>0.66690669750805109</v>
      </c>
      <c r="K198" s="302">
        <v>0.55347584537979511</v>
      </c>
      <c r="L198" s="302">
        <f t="shared" si="84"/>
        <v>1.2203825428878461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0.11779214046259609</v>
      </c>
      <c r="C199" s="302">
        <v>5.4478330403180945E-2</v>
      </c>
      <c r="D199" s="302">
        <f t="shared" si="82"/>
        <v>0.17227047086577704</v>
      </c>
      <c r="E199" s="303"/>
      <c r="F199" s="302">
        <v>0.24277197146863522</v>
      </c>
      <c r="G199" s="302">
        <v>8.7966627590875368E-2</v>
      </c>
      <c r="H199" s="302">
        <f t="shared" si="83"/>
        <v>0.33073859905951059</v>
      </c>
      <c r="I199" s="303"/>
      <c r="J199" s="302">
        <v>0.19172888587960488</v>
      </c>
      <c r="K199" s="302">
        <v>0.11700979309759481</v>
      </c>
      <c r="L199" s="302">
        <f t="shared" si="84"/>
        <v>0.3087386789771997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3.7128762934164609E-2</v>
      </c>
      <c r="C200" s="302">
        <v>0.20887755827966351</v>
      </c>
      <c r="D200" s="302">
        <f t="shared" si="82"/>
        <v>0.24600632121382812</v>
      </c>
      <c r="E200" s="303"/>
      <c r="F200" s="302">
        <v>0.2087452049079403</v>
      </c>
      <c r="G200" s="302">
        <v>0.26264914992132066</v>
      </c>
      <c r="H200" s="302">
        <f t="shared" si="83"/>
        <v>0.47139435482926095</v>
      </c>
      <c r="I200" s="303"/>
      <c r="J200" s="302">
        <v>0.29870541873037759</v>
      </c>
      <c r="K200" s="302">
        <v>0.2610311509518945</v>
      </c>
      <c r="L200" s="302">
        <f t="shared" si="84"/>
        <v>0.55973656968227203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1.5237797547146766E-2</v>
      </c>
      <c r="C201" s="302">
        <v>3.0166797909559992E-2</v>
      </c>
      <c r="D201" s="302">
        <f t="shared" si="82"/>
        <v>4.5404595456706762E-2</v>
      </c>
      <c r="E201" s="303"/>
      <c r="F201" s="302">
        <v>2.9764364951504835E-2</v>
      </c>
      <c r="G201" s="302">
        <v>4.9305769837012445E-2</v>
      </c>
      <c r="H201" s="302">
        <f t="shared" si="83"/>
        <v>7.907013478851728E-2</v>
      </c>
      <c r="I201" s="303"/>
      <c r="J201" s="302">
        <v>2.3710286842389034E-2</v>
      </c>
      <c r="K201" s="302">
        <v>6.9315171803595657E-2</v>
      </c>
      <c r="L201" s="302">
        <f t="shared" si="84"/>
        <v>9.3025458645984688E-2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3.8328913917075318E-2</v>
      </c>
      <c r="C202" s="302">
        <v>3.3794421469922641E-2</v>
      </c>
      <c r="D202" s="302">
        <f t="shared" si="82"/>
        <v>7.2123335386997958E-2</v>
      </c>
      <c r="E202" s="303"/>
      <c r="F202" s="302">
        <v>7.7539807858961696E-2</v>
      </c>
      <c r="G202" s="302">
        <v>5.6841560842932189E-2</v>
      </c>
      <c r="H202" s="302">
        <f t="shared" si="83"/>
        <v>0.13438136870189388</v>
      </c>
      <c r="I202" s="303"/>
      <c r="J202" s="302">
        <v>9.0772645697541149E-2</v>
      </c>
      <c r="K202" s="302">
        <v>8.437323658304989E-2</v>
      </c>
      <c r="L202" s="302">
        <f t="shared" si="84"/>
        <v>0.17514588228059103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4.8091377900878439E-2</v>
      </c>
      <c r="C203" s="302">
        <v>8.7142114285342867E-2</v>
      </c>
      <c r="D203" s="302">
        <f t="shared" si="82"/>
        <v>0.1352334921862213</v>
      </c>
      <c r="E203" s="303"/>
      <c r="F203" s="302">
        <v>9.0923217602589854E-2</v>
      </c>
      <c r="G203" s="302">
        <v>0.12332488176793346</v>
      </c>
      <c r="H203" s="302">
        <f t="shared" si="83"/>
        <v>0.2142480993705233</v>
      </c>
      <c r="I203" s="303"/>
      <c r="J203" s="302">
        <v>0.1443994048697663</v>
      </c>
      <c r="K203" s="302">
        <v>8.9768763152871939E-2</v>
      </c>
      <c r="L203" s="302">
        <f t="shared" si="84"/>
        <v>0.23416816802263823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4.2367518939628507E-2</v>
      </c>
      <c r="C204" s="302">
        <v>8.2502901632610912E-2</v>
      </c>
      <c r="D204" s="302">
        <f t="shared" si="82"/>
        <v>0.12487042057223942</v>
      </c>
      <c r="E204" s="303"/>
      <c r="F204" s="302">
        <v>9.3816234305915264E-2</v>
      </c>
      <c r="G204" s="302">
        <v>0.10807669947092033</v>
      </c>
      <c r="H204" s="302">
        <f t="shared" si="83"/>
        <v>0.20189293377683559</v>
      </c>
      <c r="I204" s="303"/>
      <c r="J204" s="302">
        <v>0.11012580178089951</v>
      </c>
      <c r="K204" s="302">
        <v>0.10429105854602208</v>
      </c>
      <c r="L204" s="302">
        <f t="shared" si="84"/>
        <v>0.21441686032692159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32</v>
      </c>
      <c r="B206" s="311">
        <f>SUM(B196:B204)</f>
        <v>0.90400000000124414</v>
      </c>
      <c r="C206" s="311">
        <f t="shared" ref="C206:D206" si="85">SUM(C196:C204)</f>
        <v>1.6829999999957861</v>
      </c>
      <c r="D206" s="311">
        <f t="shared" si="85"/>
        <v>2.5869999999970306</v>
      </c>
      <c r="E206" s="311"/>
      <c r="F206" s="311">
        <f t="shared" ref="F206:H206" si="86">SUM(F196:F204)</f>
        <v>2.2659999999807088</v>
      </c>
      <c r="G206" s="311">
        <f t="shared" si="86"/>
        <v>2.8509999999880988</v>
      </c>
      <c r="H206" s="311">
        <f t="shared" si="86"/>
        <v>5.1169999999688072</v>
      </c>
      <c r="I206" s="311"/>
      <c r="J206" s="311">
        <f t="shared" ref="J206:L206" si="87">SUM(J196:J204)</f>
        <v>2.6560000000068378</v>
      </c>
      <c r="K206" s="311">
        <f t="shared" si="87"/>
        <v>3.3559999999914112</v>
      </c>
      <c r="L206" s="311">
        <f t="shared" si="87"/>
        <v>6.0119999999982499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name!A15</f>
        <v>Rubber and plastic</v>
      </c>
      <c r="B210" s="372">
        <f>B$6</f>
        <v>2015</v>
      </c>
      <c r="C210" s="372"/>
      <c r="D210" s="372"/>
      <c r="E210" s="253"/>
      <c r="F210" s="372">
        <f>F193</f>
        <v>2020</v>
      </c>
      <c r="G210" s="372"/>
      <c r="H210" s="372"/>
      <c r="I210" s="253"/>
      <c r="J210" s="372">
        <f>J193</f>
        <v>2035</v>
      </c>
      <c r="K210" s="372"/>
      <c r="L210" s="372"/>
      <c r="M210" s="236"/>
      <c r="N210" s="236"/>
    </row>
    <row r="211" spans="1:14" x14ac:dyDescent="0.2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0.32926917779194348</v>
      </c>
      <c r="C213" s="302">
        <v>1.7205571315531716</v>
      </c>
      <c r="D213" s="302">
        <f>SUM(B213:C213)</f>
        <v>2.0498263093451152</v>
      </c>
      <c r="E213" s="303"/>
      <c r="F213" s="302">
        <v>0.4433532253715699</v>
      </c>
      <c r="G213" s="302">
        <v>1.5530102388940756</v>
      </c>
      <c r="H213" s="302">
        <f>SUM(F213:G213)</f>
        <v>1.9963634642656456</v>
      </c>
      <c r="I213" s="303"/>
      <c r="J213" s="302">
        <v>0.42163403241372788</v>
      </c>
      <c r="K213" s="302">
        <v>1.5049964479827072</v>
      </c>
      <c r="L213" s="302">
        <f>SUM(J213:K213)</f>
        <v>1.9266304803964349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0.24378177666646964</v>
      </c>
      <c r="C214" s="302">
        <v>1.4081198157864676</v>
      </c>
      <c r="D214" s="302">
        <f t="shared" ref="D214:D221" si="88">SUM(B214:C214)</f>
        <v>1.6519015924529372</v>
      </c>
      <c r="E214" s="303"/>
      <c r="F214" s="302">
        <v>0.34606945078702028</v>
      </c>
      <c r="G214" s="302">
        <v>1.4601869627671553</v>
      </c>
      <c r="H214" s="302">
        <f t="shared" ref="H214:H221" si="89">SUM(F214:G214)</f>
        <v>1.8062564135541757</v>
      </c>
      <c r="I214" s="303"/>
      <c r="J214" s="302">
        <v>0.35394721977486243</v>
      </c>
      <c r="K214" s="302">
        <v>1.6436536565423863</v>
      </c>
      <c r="L214" s="302">
        <f t="shared" ref="L214:L221" si="90">SUM(J214:K214)</f>
        <v>1.9976008763172488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0.33726104806608909</v>
      </c>
      <c r="C215" s="302">
        <v>1.3440869138501854</v>
      </c>
      <c r="D215" s="302">
        <f t="shared" si="88"/>
        <v>1.6813479619162746</v>
      </c>
      <c r="E215" s="303"/>
      <c r="F215" s="302">
        <v>0.38698335570066866</v>
      </c>
      <c r="G215" s="302">
        <v>1.3530653939770181</v>
      </c>
      <c r="H215" s="302">
        <f t="shared" si="89"/>
        <v>1.7400487496776869</v>
      </c>
      <c r="I215" s="303"/>
      <c r="J215" s="302">
        <v>0.3486191914363147</v>
      </c>
      <c r="K215" s="302">
        <v>1.1938801489816349</v>
      </c>
      <c r="L215" s="302">
        <f t="shared" si="90"/>
        <v>1.5424993404179497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0.53149839222574746</v>
      </c>
      <c r="C216" s="302">
        <v>0.40248514800629065</v>
      </c>
      <c r="D216" s="302">
        <f t="shared" si="88"/>
        <v>0.93398354023203811</v>
      </c>
      <c r="E216" s="303"/>
      <c r="F216" s="302">
        <v>0.586291658541089</v>
      </c>
      <c r="G216" s="302">
        <v>0.38750865108648758</v>
      </c>
      <c r="H216" s="302">
        <f t="shared" si="89"/>
        <v>0.97380030962757658</v>
      </c>
      <c r="I216" s="303"/>
      <c r="J216" s="302">
        <v>0.33687610233974924</v>
      </c>
      <c r="K216" s="302">
        <v>0.40278804884605635</v>
      </c>
      <c r="L216" s="302">
        <f t="shared" si="90"/>
        <v>0.73966415118580553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0.12429169448947905</v>
      </c>
      <c r="C217" s="302">
        <v>3.3255815655635925</v>
      </c>
      <c r="D217" s="302">
        <f t="shared" si="88"/>
        <v>3.4498732600530717</v>
      </c>
      <c r="E217" s="303"/>
      <c r="F217" s="302">
        <v>0.32490381141180447</v>
      </c>
      <c r="G217" s="302">
        <v>2.199879274903592</v>
      </c>
      <c r="H217" s="302">
        <f t="shared" si="89"/>
        <v>2.5247830863153964</v>
      </c>
      <c r="I217" s="303"/>
      <c r="J217" s="302">
        <v>0.34855509718035854</v>
      </c>
      <c r="K217" s="302">
        <v>1.8659868184222761</v>
      </c>
      <c r="L217" s="302">
        <f t="shared" si="90"/>
        <v>2.2145419156026347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4.1428729497736412E-2</v>
      </c>
      <c r="C218" s="302">
        <v>0.25139728150052393</v>
      </c>
      <c r="D218" s="302">
        <f t="shared" si="88"/>
        <v>0.29282601099826033</v>
      </c>
      <c r="E218" s="303"/>
      <c r="F218" s="302">
        <v>4.0951937906585453E-2</v>
      </c>
      <c r="G218" s="302">
        <v>0.26423447068657818</v>
      </c>
      <c r="H218" s="302">
        <f t="shared" si="89"/>
        <v>0.30518640859316365</v>
      </c>
      <c r="I218" s="303"/>
      <c r="J218" s="302">
        <v>2.6629698949423047E-2</v>
      </c>
      <c r="K218" s="302">
        <v>0.4151351463053366</v>
      </c>
      <c r="L218" s="302">
        <f t="shared" si="90"/>
        <v>0.44176484525475967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0.14969733838138766</v>
      </c>
      <c r="C219" s="302">
        <v>0.43985161364868147</v>
      </c>
      <c r="D219" s="302">
        <f t="shared" si="88"/>
        <v>0.58954895203006918</v>
      </c>
      <c r="E219" s="303"/>
      <c r="F219" s="302">
        <v>0.14983749466727428</v>
      </c>
      <c r="G219" s="302">
        <v>0.33573321243617577</v>
      </c>
      <c r="H219" s="302">
        <f t="shared" si="89"/>
        <v>0.48557070710345007</v>
      </c>
      <c r="I219" s="303"/>
      <c r="J219" s="302">
        <v>0.12962512190092193</v>
      </c>
      <c r="K219" s="302">
        <v>0.35524048996434726</v>
      </c>
      <c r="L219" s="302">
        <f t="shared" si="90"/>
        <v>0.48486561186526922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0.29877399524070847</v>
      </c>
      <c r="C220" s="302">
        <v>1.8437711057860355</v>
      </c>
      <c r="D220" s="302">
        <f t="shared" si="88"/>
        <v>2.142545101026744</v>
      </c>
      <c r="E220" s="303"/>
      <c r="F220" s="302">
        <v>0.26460692801741903</v>
      </c>
      <c r="G220" s="302">
        <v>1.3010427356749932</v>
      </c>
      <c r="H220" s="302">
        <f t="shared" si="89"/>
        <v>1.5656496636924122</v>
      </c>
      <c r="I220" s="303"/>
      <c r="J220" s="302">
        <v>0.29315130591098598</v>
      </c>
      <c r="K220" s="302">
        <v>0.96787196932442698</v>
      </c>
      <c r="L220" s="302">
        <f t="shared" si="90"/>
        <v>1.2610232752354129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0.15399784762421287</v>
      </c>
      <c r="C221" s="302">
        <v>1.5161494243181788</v>
      </c>
      <c r="D221" s="302">
        <f t="shared" si="88"/>
        <v>1.6701472719423918</v>
      </c>
      <c r="E221" s="303"/>
      <c r="F221" s="302">
        <v>0.12200213758163844</v>
      </c>
      <c r="G221" s="302">
        <v>1.0693390596300618</v>
      </c>
      <c r="H221" s="302">
        <f t="shared" si="89"/>
        <v>1.1913411972117003</v>
      </c>
      <c r="I221" s="303"/>
      <c r="J221" s="302">
        <v>7.8962230090597926E-2</v>
      </c>
      <c r="K221" s="302">
        <v>0.72744727371987616</v>
      </c>
      <c r="L221" s="302">
        <f t="shared" si="90"/>
        <v>0.80640950381047405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32</v>
      </c>
      <c r="B223" s="311">
        <f>SUM(B213:B221)</f>
        <v>2.2099999999837738</v>
      </c>
      <c r="C223" s="311">
        <f t="shared" ref="C223:D223" si="91">SUM(C213:C221)</f>
        <v>12.252000000013128</v>
      </c>
      <c r="D223" s="311">
        <f t="shared" si="91"/>
        <v>14.461999999996904</v>
      </c>
      <c r="E223" s="311"/>
      <c r="F223" s="311">
        <f t="shared" ref="F223:H223" si="92">SUM(F213:F221)</f>
        <v>2.6649999999850693</v>
      </c>
      <c r="G223" s="311">
        <f t="shared" si="92"/>
        <v>9.9240000000561359</v>
      </c>
      <c r="H223" s="311">
        <f t="shared" si="92"/>
        <v>12.589000000041208</v>
      </c>
      <c r="I223" s="311"/>
      <c r="J223" s="311">
        <f t="shared" ref="J223:L223" si="93">SUM(J213:J221)</f>
        <v>2.3379999999969416</v>
      </c>
      <c r="K223" s="311">
        <f t="shared" si="93"/>
        <v>9.0770000000890487</v>
      </c>
      <c r="L223" s="311">
        <f t="shared" si="93"/>
        <v>11.415000000085989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name!A16</f>
        <v>Other non-metallic</v>
      </c>
      <c r="B227" s="372">
        <f>B$6</f>
        <v>2015</v>
      </c>
      <c r="C227" s="372"/>
      <c r="D227" s="372"/>
      <c r="E227" s="253"/>
      <c r="F227" s="372">
        <f>F210</f>
        <v>2020</v>
      </c>
      <c r="G227" s="372"/>
      <c r="H227" s="372"/>
      <c r="I227" s="253"/>
      <c r="J227" s="372">
        <f>J210</f>
        <v>2035</v>
      </c>
      <c r="K227" s="372"/>
      <c r="L227" s="372"/>
      <c r="M227" s="236"/>
      <c r="N227" s="236"/>
    </row>
    <row r="228" spans="1:14" x14ac:dyDescent="0.2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2.4335297190798591E-2</v>
      </c>
      <c r="C230" s="302">
        <v>0.45488057072680582</v>
      </c>
      <c r="D230" s="302">
        <f>SUM(B230:C230)</f>
        <v>0.4792158679176044</v>
      </c>
      <c r="E230" s="303"/>
      <c r="F230" s="302">
        <v>5.0046211947794517E-2</v>
      </c>
      <c r="G230" s="302">
        <v>0.62657318771322845</v>
      </c>
      <c r="H230" s="302">
        <f>SUM(F230:G230)</f>
        <v>0.67661939966102302</v>
      </c>
      <c r="I230" s="303"/>
      <c r="J230" s="302">
        <v>4.8405541400837575E-2</v>
      </c>
      <c r="K230" s="302">
        <v>0.58407538773541212</v>
      </c>
      <c r="L230" s="302">
        <f>SUM(J230:K230)</f>
        <v>0.63248092913624965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7.7816871335355364E-2</v>
      </c>
      <c r="C231" s="302">
        <v>0.22954209942291492</v>
      </c>
      <c r="D231" s="302">
        <f t="shared" ref="D231:D238" si="94">SUM(B231:C231)</f>
        <v>0.30735897075827029</v>
      </c>
      <c r="E231" s="303"/>
      <c r="F231" s="302">
        <v>0.16286300427139661</v>
      </c>
      <c r="G231" s="302">
        <v>0.37429158820387715</v>
      </c>
      <c r="H231" s="302">
        <f t="shared" ref="H231:H238" si="95">SUM(F231:G231)</f>
        <v>0.53715459247527375</v>
      </c>
      <c r="I231" s="303"/>
      <c r="J231" s="302">
        <v>0.15944445498147722</v>
      </c>
      <c r="K231" s="302">
        <v>0.40718948043055675</v>
      </c>
      <c r="L231" s="302">
        <f t="shared" ref="L231:L238" si="96">SUM(J231:K231)</f>
        <v>0.566633935412034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6.9053963589004522E-2</v>
      </c>
      <c r="C232" s="302">
        <v>0.23046909072970068</v>
      </c>
      <c r="D232" s="302">
        <f t="shared" si="94"/>
        <v>0.29952305431870518</v>
      </c>
      <c r="E232" s="303"/>
      <c r="F232" s="302">
        <v>0.13043258691591567</v>
      </c>
      <c r="G232" s="302">
        <v>0.34792935314754109</v>
      </c>
      <c r="H232" s="302">
        <f t="shared" si="95"/>
        <v>0.47836194006345678</v>
      </c>
      <c r="I232" s="303"/>
      <c r="J232" s="302">
        <v>0.12427199165657976</v>
      </c>
      <c r="K232" s="302">
        <v>0.31364393990015388</v>
      </c>
      <c r="L232" s="302">
        <f t="shared" si="96"/>
        <v>0.43791593155673364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0.49769384878027784</v>
      </c>
      <c r="C233" s="302">
        <v>4.7198171349538312E-2</v>
      </c>
      <c r="D233" s="302">
        <f t="shared" si="94"/>
        <v>0.54489202012981619</v>
      </c>
      <c r="E233" s="303"/>
      <c r="F233" s="302">
        <v>0.74986696840420852</v>
      </c>
      <c r="G233" s="302">
        <v>7.1485998349995999E-2</v>
      </c>
      <c r="H233" s="302">
        <f t="shared" si="95"/>
        <v>0.82135296675420455</v>
      </c>
      <c r="I233" s="303"/>
      <c r="J233" s="302">
        <v>0.56994034909047064</v>
      </c>
      <c r="K233" s="302">
        <v>6.6473421428279528E-2</v>
      </c>
      <c r="L233" s="302">
        <f t="shared" si="96"/>
        <v>0.63641377051875014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3.5420682217465214E-2</v>
      </c>
      <c r="C234" s="302">
        <v>0.65213312480339891</v>
      </c>
      <c r="D234" s="302">
        <f t="shared" si="94"/>
        <v>0.68755380702086411</v>
      </c>
      <c r="E234" s="303"/>
      <c r="F234" s="302">
        <v>0.10067134844077637</v>
      </c>
      <c r="G234" s="302">
        <v>0.60629453081820661</v>
      </c>
      <c r="H234" s="302">
        <f t="shared" si="95"/>
        <v>0.70696587925898302</v>
      </c>
      <c r="I234" s="303"/>
      <c r="J234" s="302">
        <v>0.11296791016600033</v>
      </c>
      <c r="K234" s="302">
        <v>0.47473827590973283</v>
      </c>
      <c r="L234" s="302">
        <f t="shared" si="96"/>
        <v>0.58770618607573311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2.9033597592595054E-2</v>
      </c>
      <c r="C235" s="302">
        <v>2.6101680788459994E-2</v>
      </c>
      <c r="D235" s="302">
        <f t="shared" si="94"/>
        <v>5.5135278381055045E-2</v>
      </c>
      <c r="E235" s="303"/>
      <c r="F235" s="302">
        <v>6.6707007237010493E-2</v>
      </c>
      <c r="G235" s="302">
        <v>3.9074215187803116E-2</v>
      </c>
      <c r="H235" s="302">
        <f t="shared" si="95"/>
        <v>0.10578122242481361</v>
      </c>
      <c r="I235" s="303"/>
      <c r="J235" s="302">
        <v>6.892145040210805E-2</v>
      </c>
      <c r="K235" s="302">
        <v>5.6871216828188818E-2</v>
      </c>
      <c r="L235" s="302">
        <f t="shared" si="96"/>
        <v>0.12579266723029686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7.6098067860945001E-2</v>
      </c>
      <c r="C236" s="302">
        <v>6.3016956447745159E-2</v>
      </c>
      <c r="D236" s="302">
        <f t="shared" si="94"/>
        <v>0.13911502430869016</v>
      </c>
      <c r="E236" s="303"/>
      <c r="F236" s="302">
        <v>0.11238840290803666</v>
      </c>
      <c r="G236" s="302">
        <v>7.3920467798785888E-2</v>
      </c>
      <c r="H236" s="302">
        <f t="shared" si="95"/>
        <v>0.18630887070682256</v>
      </c>
      <c r="I236" s="303"/>
      <c r="J236" s="302">
        <v>0.10424561853499656</v>
      </c>
      <c r="K236" s="302">
        <v>8.0061337615644615E-2</v>
      </c>
      <c r="L236" s="302">
        <f t="shared" si="96"/>
        <v>0.18430695615064119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2.4956985144554709E-2</v>
      </c>
      <c r="C237" s="302">
        <v>1.1701784802237061</v>
      </c>
      <c r="D237" s="302">
        <f t="shared" si="94"/>
        <v>1.1951354653682609</v>
      </c>
      <c r="E237" s="303"/>
      <c r="F237" s="302">
        <v>3.3823551935722687E-2</v>
      </c>
      <c r="G237" s="302">
        <v>1.2510531191459482</v>
      </c>
      <c r="H237" s="302">
        <f t="shared" si="95"/>
        <v>1.2848766710816708</v>
      </c>
      <c r="I237" s="303"/>
      <c r="J237" s="302">
        <v>5.066040913678168E-2</v>
      </c>
      <c r="K237" s="302">
        <v>1.1913798641951903</v>
      </c>
      <c r="L237" s="302">
        <f t="shared" si="96"/>
        <v>1.242040273331972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5.9590686280885888E-2</v>
      </c>
      <c r="C238" s="302">
        <v>0.14447982550675653</v>
      </c>
      <c r="D238" s="302">
        <f t="shared" si="94"/>
        <v>0.20407051178764241</v>
      </c>
      <c r="E238" s="303"/>
      <c r="F238" s="302">
        <v>9.4200917937859036E-2</v>
      </c>
      <c r="G238" s="302">
        <v>0.1493775396571794</v>
      </c>
      <c r="H238" s="302">
        <f t="shared" si="95"/>
        <v>0.24357845759503843</v>
      </c>
      <c r="I238" s="303"/>
      <c r="J238" s="302">
        <v>7.8142274627203023E-2</v>
      </c>
      <c r="K238" s="302">
        <v>8.4567075993085841E-2</v>
      </c>
      <c r="L238" s="302">
        <f t="shared" si="96"/>
        <v>0.16270935062028885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32</v>
      </c>
      <c r="B240" s="311">
        <f>SUM(B230:B238)</f>
        <v>0.89399999999188218</v>
      </c>
      <c r="C240" s="311">
        <f t="shared" ref="C240:D240" si="97">SUM(C230:C238)</f>
        <v>3.0179999999990264</v>
      </c>
      <c r="D240" s="311">
        <f t="shared" si="97"/>
        <v>3.9119999999909081</v>
      </c>
      <c r="E240" s="311"/>
      <c r="F240" s="311">
        <f t="shared" ref="F240:H240" si="98">SUM(F230:F238)</f>
        <v>1.5009999999987205</v>
      </c>
      <c r="G240" s="311">
        <f t="shared" si="98"/>
        <v>3.5400000000225655</v>
      </c>
      <c r="H240" s="311">
        <f t="shared" si="98"/>
        <v>5.0410000000212865</v>
      </c>
      <c r="I240" s="311"/>
      <c r="J240" s="311">
        <f t="shared" ref="J240:L240" si="99">SUM(J230:J238)</f>
        <v>1.316999999996455</v>
      </c>
      <c r="K240" s="311">
        <f t="shared" si="99"/>
        <v>3.2590000000362447</v>
      </c>
      <c r="L240" s="311">
        <f t="shared" si="99"/>
        <v>4.5760000000326988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name!A17</f>
        <v>Basic metals</v>
      </c>
      <c r="B244" s="372">
        <f>B$6</f>
        <v>2015</v>
      </c>
      <c r="C244" s="372"/>
      <c r="D244" s="372"/>
      <c r="E244" s="253"/>
      <c r="F244" s="372">
        <f>F227</f>
        <v>2020</v>
      </c>
      <c r="G244" s="372"/>
      <c r="H244" s="372"/>
      <c r="I244" s="253"/>
      <c r="J244" s="372">
        <f>J227</f>
        <v>2035</v>
      </c>
      <c r="K244" s="372"/>
      <c r="L244" s="372"/>
      <c r="M244" s="236"/>
      <c r="N244" s="236"/>
    </row>
    <row r="245" spans="1:14" x14ac:dyDescent="0.2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1.4862655049881884E-2</v>
      </c>
      <c r="C247" s="302">
        <v>0.25318221813636022</v>
      </c>
      <c r="D247" s="302">
        <f>SUM(B247:C247)</f>
        <v>0.26804487318624209</v>
      </c>
      <c r="E247" s="303"/>
      <c r="F247" s="302">
        <v>2.8132999030648358E-2</v>
      </c>
      <c r="G247" s="302">
        <v>0.30713626932317573</v>
      </c>
      <c r="H247" s="302">
        <f>SUM(F247:G247)</f>
        <v>0.33526926835382409</v>
      </c>
      <c r="I247" s="303"/>
      <c r="J247" s="302">
        <v>2.5271128807552407E-2</v>
      </c>
      <c r="K247" s="302">
        <v>0.251939220902549</v>
      </c>
      <c r="L247" s="302">
        <f>SUM(J247:K247)</f>
        <v>0.27721034971010139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6.0093722640165444E-2</v>
      </c>
      <c r="C248" s="302">
        <v>0.34231556492566451</v>
      </c>
      <c r="D248" s="302">
        <f t="shared" ref="D248:D255" si="100">SUM(B248:C248)</f>
        <v>0.40240928756582994</v>
      </c>
      <c r="E248" s="303"/>
      <c r="F248" s="302">
        <v>0.10817764266924811</v>
      </c>
      <c r="G248" s="302">
        <v>0.47769290634105926</v>
      </c>
      <c r="H248" s="302">
        <f t="shared" ref="H248:H255" si="101">SUM(F248:G248)</f>
        <v>0.58587054901030733</v>
      </c>
      <c r="I248" s="303"/>
      <c r="J248" s="302">
        <v>9.7358053953766746E-2</v>
      </c>
      <c r="K248" s="302">
        <v>0.46216366610943155</v>
      </c>
      <c r="L248" s="302">
        <f t="shared" ref="L248:L255" si="102">SUM(J248:K248)</f>
        <v>0.55952172006319834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1.9711369710562286E-2</v>
      </c>
      <c r="C249" s="302">
        <v>0.28869805122624698</v>
      </c>
      <c r="D249" s="302">
        <f t="shared" si="100"/>
        <v>0.30840942093680929</v>
      </c>
      <c r="E249" s="303"/>
      <c r="F249" s="302">
        <v>3.1911857841893404E-2</v>
      </c>
      <c r="G249" s="302">
        <v>0.39151502942359379</v>
      </c>
      <c r="H249" s="302">
        <f t="shared" si="101"/>
        <v>0.42342688726548716</v>
      </c>
      <c r="I249" s="303"/>
      <c r="J249" s="302">
        <v>2.772247217926958E-2</v>
      </c>
      <c r="K249" s="302">
        <v>0.30047444957754388</v>
      </c>
      <c r="L249" s="302">
        <f t="shared" si="102"/>
        <v>0.32819692175681348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2.7624299374176341E-2</v>
      </c>
      <c r="C250" s="302">
        <v>0.10574859180966664</v>
      </c>
      <c r="D250" s="302">
        <f t="shared" si="100"/>
        <v>0.13337289118384299</v>
      </c>
      <c r="E250" s="303"/>
      <c r="F250" s="302">
        <v>2.7442007521202051E-2</v>
      </c>
      <c r="G250" s="302">
        <v>0.13393927044854356</v>
      </c>
      <c r="H250" s="302">
        <f t="shared" si="101"/>
        <v>0.16138127796974561</v>
      </c>
      <c r="I250" s="303"/>
      <c r="J250" s="302">
        <v>1.5366486888399198E-2</v>
      </c>
      <c r="K250" s="302">
        <v>0.11392743844274331</v>
      </c>
      <c r="L250" s="302">
        <f t="shared" si="102"/>
        <v>0.12929392533114251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9.9839273721265241E-3</v>
      </c>
      <c r="C251" s="302">
        <v>0.56794204836262696</v>
      </c>
      <c r="D251" s="302">
        <f t="shared" si="100"/>
        <v>0.57792597573475346</v>
      </c>
      <c r="E251" s="303"/>
      <c r="F251" s="302">
        <v>1.28618043408019E-2</v>
      </c>
      <c r="G251" s="302">
        <v>0.51321148406040806</v>
      </c>
      <c r="H251" s="302">
        <f t="shared" si="101"/>
        <v>0.52607328840120993</v>
      </c>
      <c r="I251" s="303"/>
      <c r="J251" s="302">
        <v>2.6459760139223083E-2</v>
      </c>
      <c r="K251" s="302">
        <v>0.3113841886856481</v>
      </c>
      <c r="L251" s="302">
        <f t="shared" si="102"/>
        <v>0.33784394882487118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1.1408359077841794E-3</v>
      </c>
      <c r="C252" s="302">
        <v>1.661903771337403E-2</v>
      </c>
      <c r="D252" s="302">
        <f t="shared" si="100"/>
        <v>1.7759873621158211E-2</v>
      </c>
      <c r="E252" s="303"/>
      <c r="F252" s="302">
        <v>5.4432664505310903E-3</v>
      </c>
      <c r="G252" s="302">
        <v>2.0006593470517753E-2</v>
      </c>
      <c r="H252" s="302">
        <f t="shared" si="101"/>
        <v>2.5449859921048843E-2</v>
      </c>
      <c r="I252" s="303"/>
      <c r="J252" s="302">
        <v>4.2285472417530464E-3</v>
      </c>
      <c r="K252" s="302">
        <v>1.8659666743493421E-2</v>
      </c>
      <c r="L252" s="302">
        <f t="shared" si="102"/>
        <v>2.2888213985246469E-2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3.5226029216484161E-3</v>
      </c>
      <c r="C253" s="302">
        <v>3.2889019762603756E-2</v>
      </c>
      <c r="D253" s="302">
        <f t="shared" si="100"/>
        <v>3.6411622684252173E-2</v>
      </c>
      <c r="E253" s="303"/>
      <c r="F253" s="302">
        <v>4.4241481386738894E-3</v>
      </c>
      <c r="G253" s="302">
        <v>3.385300041300799E-2</v>
      </c>
      <c r="H253" s="302">
        <f t="shared" si="101"/>
        <v>3.8277148551681878E-2</v>
      </c>
      <c r="I253" s="303"/>
      <c r="J253" s="302">
        <v>4.1190091343301059E-3</v>
      </c>
      <c r="K253" s="302">
        <v>3.5930864562515076E-2</v>
      </c>
      <c r="L253" s="302">
        <f t="shared" si="102"/>
        <v>4.0049873696845179E-2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6.6218065991095589E-3</v>
      </c>
      <c r="C254" s="302">
        <v>0.55467983950549926</v>
      </c>
      <c r="D254" s="302">
        <f t="shared" si="100"/>
        <v>0.56130164610460886</v>
      </c>
      <c r="E254" s="303"/>
      <c r="F254" s="302">
        <v>8.0114397436426253E-3</v>
      </c>
      <c r="G254" s="302">
        <v>0.49329758023900616</v>
      </c>
      <c r="H254" s="302">
        <f t="shared" si="101"/>
        <v>0.50130901998264876</v>
      </c>
      <c r="I254" s="303"/>
      <c r="J254" s="302">
        <v>6.8154324379505922E-3</v>
      </c>
      <c r="K254" s="302">
        <v>0.45111514149970228</v>
      </c>
      <c r="L254" s="302">
        <f t="shared" si="102"/>
        <v>0.45793057393765285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6.4387804250303242E-3</v>
      </c>
      <c r="C255" s="302">
        <v>0.10992562855498585</v>
      </c>
      <c r="D255" s="302">
        <f t="shared" si="100"/>
        <v>0.11636440898001617</v>
      </c>
      <c r="E255" s="303"/>
      <c r="F255" s="302">
        <v>9.5948342611776247E-3</v>
      </c>
      <c r="G255" s="302">
        <v>7.434786628627725E-2</v>
      </c>
      <c r="H255" s="302">
        <f t="shared" si="101"/>
        <v>8.3942700547454868E-2</v>
      </c>
      <c r="I255" s="303"/>
      <c r="J255" s="302">
        <v>6.6591092202227921E-3</v>
      </c>
      <c r="K255" s="302">
        <v>5.440536348669963E-2</v>
      </c>
      <c r="L255" s="302">
        <f t="shared" si="102"/>
        <v>6.1064472706922425E-2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32</v>
      </c>
      <c r="B257" s="311">
        <f>SUM(B247:B255)</f>
        <v>0.15000000000048494</v>
      </c>
      <c r="C257" s="311">
        <f t="shared" ref="C257:D257" si="103">SUM(C247:C255)</f>
        <v>2.2719999999970284</v>
      </c>
      <c r="D257" s="311">
        <f t="shared" si="103"/>
        <v>2.4219999999975128</v>
      </c>
      <c r="E257" s="311"/>
      <c r="F257" s="311">
        <f t="shared" ref="F257:H257" si="104">SUM(F247:F255)</f>
        <v>0.23599999999781904</v>
      </c>
      <c r="G257" s="311">
        <f t="shared" si="104"/>
        <v>2.4450000000055896</v>
      </c>
      <c r="H257" s="311">
        <f t="shared" si="104"/>
        <v>2.6810000000034084</v>
      </c>
      <c r="I257" s="311"/>
      <c r="J257" s="311">
        <f t="shared" ref="J257:L257" si="105">SUM(J247:J255)</f>
        <v>0.21400000000246752</v>
      </c>
      <c r="K257" s="311">
        <f t="shared" si="105"/>
        <v>2.0000000000103264</v>
      </c>
      <c r="L257" s="311">
        <f t="shared" si="105"/>
        <v>2.2140000000127937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name!A18</f>
        <v>Metal products</v>
      </c>
      <c r="B261" s="372">
        <f>B$6</f>
        <v>2015</v>
      </c>
      <c r="C261" s="372"/>
      <c r="D261" s="372"/>
      <c r="E261" s="253"/>
      <c r="F261" s="372">
        <f>F244</f>
        <v>2020</v>
      </c>
      <c r="G261" s="372"/>
      <c r="H261" s="372"/>
      <c r="I261" s="253"/>
      <c r="J261" s="372">
        <f>J244</f>
        <v>2035</v>
      </c>
      <c r="K261" s="372"/>
      <c r="L261" s="372"/>
      <c r="M261" s="236"/>
      <c r="N261" s="236"/>
    </row>
    <row r="262" spans="1:14" x14ac:dyDescent="0.2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0.54964699893022506</v>
      </c>
      <c r="C264" s="302">
        <v>2.5876672490525006</v>
      </c>
      <c r="D264" s="302">
        <f>SUM(B264:C264)</f>
        <v>3.1373142479827258</v>
      </c>
      <c r="E264" s="303"/>
      <c r="F264" s="302">
        <v>0.86134934000989172</v>
      </c>
      <c r="G264" s="302">
        <v>3.0375476939413182</v>
      </c>
      <c r="H264" s="302">
        <f>SUM(F264:G264)</f>
        <v>3.8988970339512097</v>
      </c>
      <c r="I264" s="303"/>
      <c r="J264" s="302">
        <v>0.80575779641500411</v>
      </c>
      <c r="K264" s="302">
        <v>2.6079280288619482</v>
      </c>
      <c r="L264" s="302">
        <f>SUM(J264:K264)</f>
        <v>3.4136858252769522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0.42714319437135601</v>
      </c>
      <c r="C265" s="302">
        <v>2.3353003537552603</v>
      </c>
      <c r="D265" s="302">
        <f t="shared" ref="D265:D272" si="106">SUM(B265:C265)</f>
        <v>2.7624435481266163</v>
      </c>
      <c r="E265" s="303"/>
      <c r="F265" s="302">
        <v>0.65114736259067396</v>
      </c>
      <c r="G265" s="302">
        <v>3.0306046604939292</v>
      </c>
      <c r="H265" s="302">
        <f t="shared" ref="H265:H272" si="107">SUM(F265:G265)</f>
        <v>3.681752023084603</v>
      </c>
      <c r="I265" s="303"/>
      <c r="J265" s="302">
        <v>0.6197213196786151</v>
      </c>
      <c r="K265" s="302">
        <v>2.9276174706332529</v>
      </c>
      <c r="L265" s="302">
        <f t="shared" ref="L265:L272" si="108">SUM(J265:K265)</f>
        <v>3.5473387903118683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0.49515224339928432</v>
      </c>
      <c r="C266" s="302">
        <v>2.0842892021218495</v>
      </c>
      <c r="D266" s="302">
        <f t="shared" si="106"/>
        <v>2.5794414455211339</v>
      </c>
      <c r="E266" s="303"/>
      <c r="F266" s="302">
        <v>0.61358468317249126</v>
      </c>
      <c r="G266" s="302">
        <v>2.5913201959235019</v>
      </c>
      <c r="H266" s="302">
        <f t="shared" si="107"/>
        <v>3.2049048790959933</v>
      </c>
      <c r="I266" s="303"/>
      <c r="J266" s="302">
        <v>0.49895680319242181</v>
      </c>
      <c r="K266" s="302">
        <v>2.0356666047147836</v>
      </c>
      <c r="L266" s="302">
        <f t="shared" si="108"/>
        <v>2.5346234079072052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0.88786984848565964</v>
      </c>
      <c r="C267" s="302">
        <v>0.65862705249216091</v>
      </c>
      <c r="D267" s="302">
        <f t="shared" si="106"/>
        <v>1.5464969009778207</v>
      </c>
      <c r="E267" s="303"/>
      <c r="F267" s="302">
        <v>0.90999195023818225</v>
      </c>
      <c r="G267" s="302">
        <v>0.74021636435329141</v>
      </c>
      <c r="H267" s="302">
        <f t="shared" si="107"/>
        <v>1.6502083145914737</v>
      </c>
      <c r="I267" s="303"/>
      <c r="J267" s="302">
        <v>0.52417703479255418</v>
      </c>
      <c r="K267" s="302">
        <v>0.64294822040051691</v>
      </c>
      <c r="L267" s="302">
        <f t="shared" si="108"/>
        <v>1.1671252551930711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0.19573676418703975</v>
      </c>
      <c r="C268" s="302">
        <v>9.5111512644437681</v>
      </c>
      <c r="D268" s="302">
        <f t="shared" si="106"/>
        <v>9.7068880286308072</v>
      </c>
      <c r="E268" s="303"/>
      <c r="F268" s="302">
        <v>0.2571609471921632</v>
      </c>
      <c r="G268" s="302">
        <v>8.2136971677294817</v>
      </c>
      <c r="H268" s="302">
        <f t="shared" si="107"/>
        <v>8.4708581149216453</v>
      </c>
      <c r="I268" s="303"/>
      <c r="J268" s="302">
        <v>0.53900760043462226</v>
      </c>
      <c r="K268" s="302">
        <v>5.7687745469221845</v>
      </c>
      <c r="L268" s="302">
        <f t="shared" si="108"/>
        <v>6.3077821473568072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3.0314480660644266E-2</v>
      </c>
      <c r="C269" s="302">
        <v>0.16343813968125703</v>
      </c>
      <c r="D269" s="302">
        <f t="shared" si="106"/>
        <v>0.1937526203419013</v>
      </c>
      <c r="E269" s="303"/>
      <c r="F269" s="302">
        <v>5.9138899964783102E-2</v>
      </c>
      <c r="G269" s="302">
        <v>0.19375356064684623</v>
      </c>
      <c r="H269" s="302">
        <f t="shared" si="107"/>
        <v>0.25289246061162934</v>
      </c>
      <c r="I269" s="303"/>
      <c r="J269" s="302">
        <v>5.8799340227854394E-2</v>
      </c>
      <c r="K269" s="302">
        <v>0.24810338574616447</v>
      </c>
      <c r="L269" s="302">
        <f t="shared" si="108"/>
        <v>0.30690272597401885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0.1676875832063941</v>
      </c>
      <c r="C270" s="302">
        <v>0.24251278689537917</v>
      </c>
      <c r="D270" s="302">
        <f t="shared" si="106"/>
        <v>0.41020037010177324</v>
      </c>
      <c r="E270" s="303"/>
      <c r="F270" s="302">
        <v>0.18380173841758252</v>
      </c>
      <c r="G270" s="302">
        <v>0.23178007919313154</v>
      </c>
      <c r="H270" s="302">
        <f t="shared" si="107"/>
        <v>0.41558181761071405</v>
      </c>
      <c r="I270" s="303"/>
      <c r="J270" s="302">
        <v>0.1708454187371857</v>
      </c>
      <c r="K270" s="302">
        <v>0.2332848657488783</v>
      </c>
      <c r="L270" s="302">
        <f t="shared" si="108"/>
        <v>0.40413028448606403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0.41559945560111922</v>
      </c>
      <c r="C271" s="302">
        <v>3.2864277770861272</v>
      </c>
      <c r="D271" s="302">
        <f t="shared" si="106"/>
        <v>3.7020272326872465</v>
      </c>
      <c r="E271" s="303"/>
      <c r="F271" s="302">
        <v>0.34789697989603779</v>
      </c>
      <c r="G271" s="302">
        <v>2.7195695095145345</v>
      </c>
      <c r="H271" s="302">
        <f t="shared" si="107"/>
        <v>3.0674664894105721</v>
      </c>
      <c r="I271" s="303"/>
      <c r="J271" s="302">
        <v>0.31688262155640273</v>
      </c>
      <c r="K271" s="302">
        <v>2.5030302782282217</v>
      </c>
      <c r="L271" s="302">
        <f t="shared" si="108"/>
        <v>2.8199128997846246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0.17784943113866142</v>
      </c>
      <c r="C272" s="302">
        <v>0.7585861744646365</v>
      </c>
      <c r="D272" s="302">
        <f t="shared" si="106"/>
        <v>0.93643560560329786</v>
      </c>
      <c r="E272" s="303"/>
      <c r="F272" s="302">
        <v>0.1429280984896471</v>
      </c>
      <c r="G272" s="302">
        <v>0.6255107682861728</v>
      </c>
      <c r="H272" s="302">
        <f t="shared" si="107"/>
        <v>0.76843886677581996</v>
      </c>
      <c r="I272" s="303"/>
      <c r="J272" s="302">
        <v>8.7852064976162325E-2</v>
      </c>
      <c r="K272" s="302">
        <v>0.34064659888690973</v>
      </c>
      <c r="L272" s="302">
        <f t="shared" si="108"/>
        <v>0.42849866386307206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32</v>
      </c>
      <c r="B274" s="311">
        <f>SUM(B264:B272)</f>
        <v>3.3469999999803837</v>
      </c>
      <c r="C274" s="311">
        <f t="shared" ref="C274:D274" si="109">SUM(C264:C272)</f>
        <v>21.627999999992941</v>
      </c>
      <c r="D274" s="311">
        <f t="shared" si="109"/>
        <v>24.974999999973321</v>
      </c>
      <c r="E274" s="311"/>
      <c r="F274" s="311">
        <f t="shared" ref="F274:H274" si="110">SUM(F264:F272)</f>
        <v>4.0269999999714532</v>
      </c>
      <c r="G274" s="311">
        <f t="shared" si="110"/>
        <v>21.38400000008221</v>
      </c>
      <c r="H274" s="311">
        <f t="shared" si="110"/>
        <v>25.411000000053665</v>
      </c>
      <c r="I274" s="311"/>
      <c r="J274" s="311">
        <f t="shared" ref="J274:L274" si="111">SUM(J264:J272)</f>
        <v>3.6220000000108232</v>
      </c>
      <c r="K274" s="311">
        <f t="shared" si="111"/>
        <v>17.308000000142858</v>
      </c>
      <c r="L274" s="311">
        <f t="shared" si="111"/>
        <v>20.930000000153687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name!A19</f>
        <v>Computer, etc</v>
      </c>
      <c r="B278" s="372">
        <f>B$6</f>
        <v>2015</v>
      </c>
      <c r="C278" s="372"/>
      <c r="D278" s="372"/>
      <c r="E278" s="253"/>
      <c r="F278" s="372">
        <f>F261</f>
        <v>2020</v>
      </c>
      <c r="G278" s="372"/>
      <c r="H278" s="372"/>
      <c r="I278" s="253"/>
      <c r="J278" s="372">
        <f>J261</f>
        <v>2035</v>
      </c>
      <c r="K278" s="372"/>
      <c r="L278" s="372"/>
      <c r="M278" s="236"/>
      <c r="N278" s="236"/>
    </row>
    <row r="279" spans="1:14" x14ac:dyDescent="0.2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0.31215065869930847</v>
      </c>
      <c r="C281" s="302">
        <v>1.7014020757723742</v>
      </c>
      <c r="D281" s="302">
        <f>SUM(B281:C281)</f>
        <v>2.0135527344716828</v>
      </c>
      <c r="E281" s="303"/>
      <c r="F281" s="302">
        <v>0.53750544486874652</v>
      </c>
      <c r="G281" s="302">
        <v>1.8988196495857419</v>
      </c>
      <c r="H281" s="302">
        <f>SUM(F281:G281)</f>
        <v>2.4363250944544883</v>
      </c>
      <c r="I281" s="303"/>
      <c r="J281" s="302">
        <v>0.33500949727652757</v>
      </c>
      <c r="K281" s="302">
        <v>1.4220330371429106</v>
      </c>
      <c r="L281" s="302">
        <f>SUM(J281:K281)</f>
        <v>1.7570425344194383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0.36384260418168812</v>
      </c>
      <c r="C282" s="302">
        <v>2.7394943124243043</v>
      </c>
      <c r="D282" s="302">
        <f t="shared" ref="D282:D289" si="112">SUM(B282:C282)</f>
        <v>3.1033369166059925</v>
      </c>
      <c r="E282" s="303"/>
      <c r="F282" s="302">
        <v>0.6641215738591334</v>
      </c>
      <c r="G282" s="302">
        <v>3.3194243621665893</v>
      </c>
      <c r="H282" s="302">
        <f t="shared" ref="H282:H289" si="113">SUM(F282:G282)</f>
        <v>3.9835459360257226</v>
      </c>
      <c r="I282" s="303"/>
      <c r="J282" s="302">
        <v>0.39564332221059706</v>
      </c>
      <c r="K282" s="302">
        <v>2.8088054979498343</v>
      </c>
      <c r="L282" s="302">
        <f t="shared" ref="L282:L289" si="114">SUM(J282:K282)</f>
        <v>3.2044488201604313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0.41706784492927707</v>
      </c>
      <c r="C283" s="302">
        <v>1.2371810410775019</v>
      </c>
      <c r="D283" s="302">
        <f t="shared" si="112"/>
        <v>1.654248886006779</v>
      </c>
      <c r="E283" s="303"/>
      <c r="F283" s="302">
        <v>0.69904258097070393</v>
      </c>
      <c r="G283" s="302">
        <v>1.4403031654566616</v>
      </c>
      <c r="H283" s="302">
        <f t="shared" si="113"/>
        <v>2.1393457464273657</v>
      </c>
      <c r="I283" s="303"/>
      <c r="J283" s="302">
        <v>0.36095134532177597</v>
      </c>
      <c r="K283" s="302">
        <v>0.97384301979383803</v>
      </c>
      <c r="L283" s="302">
        <f t="shared" si="114"/>
        <v>1.334794365115614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0.63333646792141529</v>
      </c>
      <c r="C284" s="302">
        <v>0.32632696097766972</v>
      </c>
      <c r="D284" s="302">
        <f t="shared" si="112"/>
        <v>0.95966342889908507</v>
      </c>
      <c r="E284" s="303"/>
      <c r="F284" s="302">
        <v>0.69259718847367358</v>
      </c>
      <c r="G284" s="302">
        <v>0.36539108272869253</v>
      </c>
      <c r="H284" s="302">
        <f t="shared" si="113"/>
        <v>1.057988271202366</v>
      </c>
      <c r="I284" s="303"/>
      <c r="J284" s="302">
        <v>0.30067129287173999</v>
      </c>
      <c r="K284" s="302">
        <v>0.31837749994440973</v>
      </c>
      <c r="L284" s="302">
        <f t="shared" si="114"/>
        <v>0.61904879281614966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0.23827494691878032</v>
      </c>
      <c r="C285" s="302">
        <v>2.0531714908626988</v>
      </c>
      <c r="D285" s="302">
        <f t="shared" si="112"/>
        <v>2.2914464377814792</v>
      </c>
      <c r="E285" s="303"/>
      <c r="F285" s="302">
        <v>0.32569588025236079</v>
      </c>
      <c r="G285" s="302">
        <v>1.6352278258668547</v>
      </c>
      <c r="H285" s="302">
        <f t="shared" si="113"/>
        <v>1.9609237061192155</v>
      </c>
      <c r="I285" s="303"/>
      <c r="J285" s="302">
        <v>0.3734770459478266</v>
      </c>
      <c r="K285" s="302">
        <v>0.93763667144848495</v>
      </c>
      <c r="L285" s="302">
        <f t="shared" si="114"/>
        <v>1.3111137173963114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4.1782321968221396E-2</v>
      </c>
      <c r="C286" s="302">
        <v>5.9271534042122015E-2</v>
      </c>
      <c r="D286" s="302">
        <f t="shared" si="112"/>
        <v>0.10105385601034342</v>
      </c>
      <c r="E286" s="303"/>
      <c r="F286" s="302">
        <v>6.7173065410861932E-2</v>
      </c>
      <c r="G286" s="302">
        <v>5.0656119088534374E-2</v>
      </c>
      <c r="H286" s="302">
        <f t="shared" si="113"/>
        <v>0.11782918449939631</v>
      </c>
      <c r="I286" s="303"/>
      <c r="J286" s="302">
        <v>5.555011071023417E-2</v>
      </c>
      <c r="K286" s="302">
        <v>6.6161668751653038E-2</v>
      </c>
      <c r="L286" s="302">
        <f t="shared" si="114"/>
        <v>0.12171177946188722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0.17108613975688194</v>
      </c>
      <c r="C287" s="302">
        <v>0.27335710845004446</v>
      </c>
      <c r="D287" s="302">
        <f t="shared" si="112"/>
        <v>0.44444324820692638</v>
      </c>
      <c r="E287" s="303"/>
      <c r="F287" s="302">
        <v>0.20133289817537275</v>
      </c>
      <c r="G287" s="302">
        <v>0.25245888165632763</v>
      </c>
      <c r="H287" s="302">
        <f t="shared" si="113"/>
        <v>0.45379177983170038</v>
      </c>
      <c r="I287" s="303"/>
      <c r="J287" s="302">
        <v>0.12336313690261033</v>
      </c>
      <c r="K287" s="302">
        <v>0.25545633584517902</v>
      </c>
      <c r="L287" s="302">
        <f t="shared" si="114"/>
        <v>0.37881947274778938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0.81775181062813063</v>
      </c>
      <c r="C288" s="302">
        <v>0.81487537358642637</v>
      </c>
      <c r="D288" s="302">
        <f t="shared" si="112"/>
        <v>1.632627184214557</v>
      </c>
      <c r="E288" s="303"/>
      <c r="F288" s="302">
        <v>0.70044659852097291</v>
      </c>
      <c r="G288" s="302">
        <v>0.61084398543455931</v>
      </c>
      <c r="H288" s="302">
        <f t="shared" si="113"/>
        <v>1.3112905839555322</v>
      </c>
      <c r="I288" s="303"/>
      <c r="J288" s="302">
        <v>0.42781863995477531</v>
      </c>
      <c r="K288" s="302">
        <v>0.48381889334267764</v>
      </c>
      <c r="L288" s="302">
        <f t="shared" si="114"/>
        <v>0.9116375332974529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0.13770720496717745</v>
      </c>
      <c r="C289" s="302">
        <v>0.30592010280078186</v>
      </c>
      <c r="D289" s="302">
        <f t="shared" si="112"/>
        <v>0.44362730776795933</v>
      </c>
      <c r="E289" s="303"/>
      <c r="F289" s="302">
        <v>0.17808476943905391</v>
      </c>
      <c r="G289" s="302">
        <v>0.22587492802007492</v>
      </c>
      <c r="H289" s="302">
        <f t="shared" si="113"/>
        <v>0.40395969745912885</v>
      </c>
      <c r="I289" s="303"/>
      <c r="J289" s="302">
        <v>0.19051560880245463</v>
      </c>
      <c r="K289" s="302">
        <v>0.1108673758561724</v>
      </c>
      <c r="L289" s="302">
        <f t="shared" si="114"/>
        <v>0.30138298465862701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32</v>
      </c>
      <c r="B291" s="311">
        <f>SUM(B281:B289)</f>
        <v>3.1329999999708806</v>
      </c>
      <c r="C291" s="311">
        <f t="shared" ref="C291:D291" si="115">SUM(C281:C289)</f>
        <v>9.5109999999939223</v>
      </c>
      <c r="D291" s="311">
        <f t="shared" si="115"/>
        <v>12.643999999964807</v>
      </c>
      <c r="E291" s="311"/>
      <c r="F291" s="311">
        <f t="shared" ref="F291:H291" si="116">SUM(F281:F289)</f>
        <v>4.06599999997088</v>
      </c>
      <c r="G291" s="311">
        <f t="shared" si="116"/>
        <v>9.7990000000040354</v>
      </c>
      <c r="H291" s="311">
        <f t="shared" si="116"/>
        <v>13.864999999974915</v>
      </c>
      <c r="I291" s="311"/>
      <c r="J291" s="311">
        <f t="shared" ref="J291:L291" si="117">SUM(J281:J289)</f>
        <v>2.5629999999985418</v>
      </c>
      <c r="K291" s="311">
        <f t="shared" si="117"/>
        <v>7.3770000000751592</v>
      </c>
      <c r="L291" s="311">
        <f t="shared" si="117"/>
        <v>9.9400000000737005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name!A20</f>
        <v>Electrical equipment</v>
      </c>
      <c r="B295" s="372">
        <f>B$6</f>
        <v>2015</v>
      </c>
      <c r="C295" s="372"/>
      <c r="D295" s="372"/>
      <c r="E295" s="253"/>
      <c r="F295" s="372">
        <f>F278</f>
        <v>2020</v>
      </c>
      <c r="G295" s="372"/>
      <c r="H295" s="372"/>
      <c r="I295" s="253"/>
      <c r="J295" s="372">
        <f>J278</f>
        <v>2035</v>
      </c>
      <c r="K295" s="372"/>
      <c r="L295" s="372"/>
      <c r="M295" s="236"/>
      <c r="N295" s="236"/>
    </row>
    <row r="296" spans="1:14" x14ac:dyDescent="0.2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0.32102150859507861</v>
      </c>
      <c r="C298" s="302">
        <v>1.4962555899700649</v>
      </c>
      <c r="D298" s="302">
        <f>SUM(B298:C298)</f>
        <v>1.8172770985651434</v>
      </c>
      <c r="E298" s="303"/>
      <c r="F298" s="302">
        <v>0.65400656394774825</v>
      </c>
      <c r="G298" s="302">
        <v>1.1728211018975878</v>
      </c>
      <c r="H298" s="302">
        <f>SUM(F298:G298)</f>
        <v>1.826827665845336</v>
      </c>
      <c r="I298" s="303"/>
      <c r="J298" s="302">
        <v>0.65419820487891744</v>
      </c>
      <c r="K298" s="302">
        <v>1.0660153700462067</v>
      </c>
      <c r="L298" s="302">
        <f>SUM(J298:K298)</f>
        <v>1.7202135749251242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0.35065560508661764</v>
      </c>
      <c r="C299" s="302">
        <v>1.3899468644117565</v>
      </c>
      <c r="D299" s="302">
        <f t="shared" ref="D299:D306" si="118">SUM(B299:C299)</f>
        <v>1.7406024694983742</v>
      </c>
      <c r="E299" s="303"/>
      <c r="F299" s="302">
        <v>0.49834218326118174</v>
      </c>
      <c r="G299" s="302">
        <v>1.2349598952807446</v>
      </c>
      <c r="H299" s="302">
        <f t="shared" ref="H299:H306" si="119">SUM(F299:G299)</f>
        <v>1.7333020785419264</v>
      </c>
      <c r="I299" s="303"/>
      <c r="J299" s="302">
        <v>0.50702015335068529</v>
      </c>
      <c r="K299" s="302">
        <v>1.2231481667722564</v>
      </c>
      <c r="L299" s="302">
        <f t="shared" ref="L299:L306" si="120">SUM(J299:K299)</f>
        <v>1.7301683201229416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0.40445952175815048</v>
      </c>
      <c r="C300" s="302">
        <v>1.0454040572363015</v>
      </c>
      <c r="D300" s="302">
        <f t="shared" si="118"/>
        <v>1.4498635789944521</v>
      </c>
      <c r="E300" s="303"/>
      <c r="F300" s="302">
        <v>0.4653638346841602</v>
      </c>
      <c r="G300" s="302">
        <v>0.88660958205363338</v>
      </c>
      <c r="H300" s="302">
        <f t="shared" si="119"/>
        <v>1.3519734167377937</v>
      </c>
      <c r="I300" s="303"/>
      <c r="J300" s="302">
        <v>0.43491551003914997</v>
      </c>
      <c r="K300" s="302">
        <v>0.7260724213031936</v>
      </c>
      <c r="L300" s="302">
        <f t="shared" si="120"/>
        <v>1.1609879313423437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0.81434411592329414</v>
      </c>
      <c r="C301" s="302">
        <v>0.24893042738055732</v>
      </c>
      <c r="D301" s="302">
        <f t="shared" si="118"/>
        <v>1.0632745433038515</v>
      </c>
      <c r="E301" s="303"/>
      <c r="F301" s="302">
        <v>0.85783037912931381</v>
      </c>
      <c r="G301" s="302">
        <v>0.1950083706188383</v>
      </c>
      <c r="H301" s="302">
        <f t="shared" si="119"/>
        <v>1.0528387497481522</v>
      </c>
      <c r="I301" s="303"/>
      <c r="J301" s="302">
        <v>0.59079721370849747</v>
      </c>
      <c r="K301" s="302">
        <v>0.19716955660864308</v>
      </c>
      <c r="L301" s="302">
        <f t="shared" si="120"/>
        <v>0.78796677031714057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0.20587885524224608</v>
      </c>
      <c r="C302" s="302">
        <v>2.417486815211269</v>
      </c>
      <c r="D302" s="302">
        <f t="shared" si="118"/>
        <v>2.6233656704535151</v>
      </c>
      <c r="E302" s="303"/>
      <c r="F302" s="302">
        <v>0.25828707531215211</v>
      </c>
      <c r="G302" s="302">
        <v>1.3606790564893139</v>
      </c>
      <c r="H302" s="302">
        <f t="shared" si="119"/>
        <v>1.6189661318014661</v>
      </c>
      <c r="I302" s="303"/>
      <c r="J302" s="302">
        <v>0.4495369618953452</v>
      </c>
      <c r="K302" s="302">
        <v>0.99888575850735184</v>
      </c>
      <c r="L302" s="302">
        <f t="shared" si="120"/>
        <v>1.4484227204026969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0.13238605472901691</v>
      </c>
      <c r="C303" s="302">
        <v>4.9648130916323849E-2</v>
      </c>
      <c r="D303" s="302">
        <f t="shared" si="118"/>
        <v>0.18203418564534074</v>
      </c>
      <c r="E303" s="303"/>
      <c r="F303" s="302">
        <v>0.16351717317771755</v>
      </c>
      <c r="G303" s="302">
        <v>3.9373974430496332E-2</v>
      </c>
      <c r="H303" s="302">
        <f t="shared" si="119"/>
        <v>0.20289114760821389</v>
      </c>
      <c r="I303" s="303"/>
      <c r="J303" s="302">
        <v>0.16974872451147147</v>
      </c>
      <c r="K303" s="302">
        <v>4.7321077401140013E-2</v>
      </c>
      <c r="L303" s="302">
        <f t="shared" si="120"/>
        <v>0.21706980191261149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0.17137868962636019</v>
      </c>
      <c r="C304" s="302">
        <v>0.23852375359155717</v>
      </c>
      <c r="D304" s="302">
        <f t="shared" si="118"/>
        <v>0.40990244321791736</v>
      </c>
      <c r="E304" s="303"/>
      <c r="F304" s="302">
        <v>0.19061971934323815</v>
      </c>
      <c r="G304" s="302">
        <v>0.17485832090468886</v>
      </c>
      <c r="H304" s="302">
        <f t="shared" si="119"/>
        <v>0.36547804024792702</v>
      </c>
      <c r="I304" s="303"/>
      <c r="J304" s="302">
        <v>0.19794021315968505</v>
      </c>
      <c r="K304" s="302">
        <v>0.16974667414788405</v>
      </c>
      <c r="L304" s="302">
        <f t="shared" si="120"/>
        <v>0.3676868873075691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0.70527096815736212</v>
      </c>
      <c r="C305" s="302">
        <v>1.5477076078705276</v>
      </c>
      <c r="D305" s="302">
        <f t="shared" si="118"/>
        <v>2.25297857602789</v>
      </c>
      <c r="E305" s="303"/>
      <c r="F305" s="302">
        <v>0.4995494687278379</v>
      </c>
      <c r="G305" s="302">
        <v>0.84890829285187042</v>
      </c>
      <c r="H305" s="302">
        <f t="shared" si="119"/>
        <v>1.3484577615797084</v>
      </c>
      <c r="I305" s="303"/>
      <c r="J305" s="302">
        <v>0.59619999789653633</v>
      </c>
      <c r="K305" s="302">
        <v>0.78442652118151002</v>
      </c>
      <c r="L305" s="302">
        <f t="shared" si="120"/>
        <v>1.3806265190780462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0.18060468085351727</v>
      </c>
      <c r="C306" s="302">
        <v>0.46609675339493561</v>
      </c>
      <c r="D306" s="302">
        <f t="shared" si="118"/>
        <v>0.64670143424845294</v>
      </c>
      <c r="E306" s="303"/>
      <c r="F306" s="302">
        <v>0.1784836024026111</v>
      </c>
      <c r="G306" s="302">
        <v>0.25378140547939393</v>
      </c>
      <c r="H306" s="302">
        <f t="shared" si="119"/>
        <v>0.43226500788200506</v>
      </c>
      <c r="I306" s="303"/>
      <c r="J306" s="302">
        <v>0.14664302055586728</v>
      </c>
      <c r="K306" s="302">
        <v>0.15221445406803735</v>
      </c>
      <c r="L306" s="302">
        <f t="shared" si="120"/>
        <v>0.29885747462390466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32</v>
      </c>
      <c r="B308" s="311">
        <f>SUM(B298:B306)</f>
        <v>3.2859999999716436</v>
      </c>
      <c r="C308" s="311">
        <f t="shared" ref="C308:D308" si="121">SUM(C298:C306)</f>
        <v>8.8999999999832937</v>
      </c>
      <c r="D308" s="311">
        <f t="shared" si="121"/>
        <v>12.185999999954937</v>
      </c>
      <c r="E308" s="311"/>
      <c r="F308" s="311">
        <f t="shared" ref="F308:H308" si="122">SUM(F298:F306)</f>
        <v>3.765999999985961</v>
      </c>
      <c r="G308" s="311">
        <f t="shared" si="122"/>
        <v>6.1670000000065679</v>
      </c>
      <c r="H308" s="311">
        <f t="shared" si="122"/>
        <v>9.9329999999925285</v>
      </c>
      <c r="I308" s="311"/>
      <c r="J308" s="311">
        <f t="shared" ref="J308:L308" si="123">SUM(J298:J306)</f>
        <v>3.7469999999961559</v>
      </c>
      <c r="K308" s="311">
        <f t="shared" si="123"/>
        <v>5.3650000000362228</v>
      </c>
      <c r="L308" s="311">
        <f t="shared" si="123"/>
        <v>9.1120000000323778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name!A21</f>
        <v>Machinery n.e.c.</v>
      </c>
      <c r="B312" s="372">
        <f>B$6</f>
        <v>2015</v>
      </c>
      <c r="C312" s="372"/>
      <c r="D312" s="372"/>
      <c r="E312" s="253"/>
      <c r="F312" s="372">
        <f>F295</f>
        <v>2020</v>
      </c>
      <c r="G312" s="372"/>
      <c r="H312" s="372"/>
      <c r="I312" s="253"/>
      <c r="J312" s="372">
        <f>J295</f>
        <v>2035</v>
      </c>
      <c r="K312" s="372"/>
      <c r="L312" s="372"/>
      <c r="M312" s="236"/>
      <c r="N312" s="236"/>
    </row>
    <row r="313" spans="1:14" x14ac:dyDescent="0.2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0.33972371418510838</v>
      </c>
      <c r="C315" s="302">
        <v>2.465691509046414</v>
      </c>
      <c r="D315" s="302">
        <f>SUM(B315:C315)</f>
        <v>2.8054152232315221</v>
      </c>
      <c r="E315" s="303"/>
      <c r="F315" s="302">
        <v>0.69135122086124023</v>
      </c>
      <c r="G315" s="302">
        <v>2.5610216173325693</v>
      </c>
      <c r="H315" s="302">
        <f>SUM(F315:G315)</f>
        <v>3.2523728381938097</v>
      </c>
      <c r="I315" s="303"/>
      <c r="J315" s="302">
        <v>0.56660376210580254</v>
      </c>
      <c r="K315" s="302">
        <v>2.1548059415581329</v>
      </c>
      <c r="L315" s="302">
        <f>SUM(J315:K315)</f>
        <v>2.7214097036639355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0.35907756541172015</v>
      </c>
      <c r="C316" s="302">
        <v>2.5484188596222324</v>
      </c>
      <c r="D316" s="302">
        <f t="shared" ref="D316:D323" si="124">SUM(B316:C316)</f>
        <v>2.9074964250339526</v>
      </c>
      <c r="E316" s="303"/>
      <c r="F316" s="302">
        <v>0.61242191137773694</v>
      </c>
      <c r="G316" s="302">
        <v>2.9561091770175785</v>
      </c>
      <c r="H316" s="302">
        <f t="shared" ref="H316:H323" si="125">SUM(F316:G316)</f>
        <v>3.5685310883953152</v>
      </c>
      <c r="I316" s="303"/>
      <c r="J316" s="302">
        <v>0.49627649366813092</v>
      </c>
      <c r="K316" s="302">
        <v>2.6714136874312513</v>
      </c>
      <c r="L316" s="302">
        <f t="shared" ref="L316:L323" si="126">SUM(J316:K316)</f>
        <v>3.1676901810993821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0.38197463296087508</v>
      </c>
      <c r="C317" s="302">
        <v>1.5456006416920456</v>
      </c>
      <c r="D317" s="302">
        <f t="shared" si="124"/>
        <v>1.9275752746529207</v>
      </c>
      <c r="E317" s="303"/>
      <c r="F317" s="302">
        <v>0.53310649914327768</v>
      </c>
      <c r="G317" s="302">
        <v>1.6823116772159397</v>
      </c>
      <c r="H317" s="302">
        <f t="shared" si="125"/>
        <v>2.2154181763592176</v>
      </c>
      <c r="I317" s="303"/>
      <c r="J317" s="302">
        <v>0.38900027372232293</v>
      </c>
      <c r="K317" s="302">
        <v>1.2401845133172353</v>
      </c>
      <c r="L317" s="302">
        <f t="shared" si="126"/>
        <v>1.6291847870395584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0.78016315169575767</v>
      </c>
      <c r="C318" s="302">
        <v>0.53985440120951067</v>
      </c>
      <c r="D318" s="302">
        <f t="shared" si="124"/>
        <v>1.3200175529052682</v>
      </c>
      <c r="E318" s="303"/>
      <c r="F318" s="302">
        <v>0.91646798725833223</v>
      </c>
      <c r="G318" s="302">
        <v>0.56154639553542718</v>
      </c>
      <c r="H318" s="302">
        <f t="shared" si="125"/>
        <v>1.4780143827937593</v>
      </c>
      <c r="I318" s="303"/>
      <c r="J318" s="302">
        <v>0.49028624920629804</v>
      </c>
      <c r="K318" s="302">
        <v>0.52704789583942446</v>
      </c>
      <c r="L318" s="302">
        <f t="shared" si="126"/>
        <v>1.0173341450457225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0.15341170580544042</v>
      </c>
      <c r="C319" s="302">
        <v>5.0989847417582457</v>
      </c>
      <c r="D319" s="302">
        <f t="shared" si="124"/>
        <v>5.2523964475636857</v>
      </c>
      <c r="E319" s="303"/>
      <c r="F319" s="302">
        <v>0.24724045798002162</v>
      </c>
      <c r="G319" s="302">
        <v>3.7646671841581769</v>
      </c>
      <c r="H319" s="302">
        <f t="shared" si="125"/>
        <v>4.0119076421381985</v>
      </c>
      <c r="I319" s="303"/>
      <c r="J319" s="302">
        <v>0.35984301274749092</v>
      </c>
      <c r="K319" s="302">
        <v>2.5985299463048643</v>
      </c>
      <c r="L319" s="302">
        <f t="shared" si="126"/>
        <v>2.9583729590523551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0.1172700104367163</v>
      </c>
      <c r="C320" s="302">
        <v>3.4328827260949761E-2</v>
      </c>
      <c r="D320" s="302">
        <f t="shared" si="124"/>
        <v>0.15159883769766605</v>
      </c>
      <c r="E320" s="303"/>
      <c r="F320" s="302">
        <v>0.15324778811141196</v>
      </c>
      <c r="G320" s="302">
        <v>3.2347937875819036E-2</v>
      </c>
      <c r="H320" s="302">
        <f t="shared" si="125"/>
        <v>0.18559572598723101</v>
      </c>
      <c r="I320" s="303"/>
      <c r="J320" s="302">
        <v>0.12416033803487382</v>
      </c>
      <c r="K320" s="302">
        <v>3.3437963428252518E-2</v>
      </c>
      <c r="L320" s="302">
        <f t="shared" si="126"/>
        <v>0.15759830146312634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0.18878361807026328</v>
      </c>
      <c r="C321" s="302">
        <v>0.46474757702330571</v>
      </c>
      <c r="D321" s="302">
        <f t="shared" si="124"/>
        <v>0.65353119509356894</v>
      </c>
      <c r="E321" s="303"/>
      <c r="F321" s="302">
        <v>0.23118672949521352</v>
      </c>
      <c r="G321" s="302">
        <v>0.42014726102037897</v>
      </c>
      <c r="H321" s="302">
        <f t="shared" si="125"/>
        <v>0.65133399051559249</v>
      </c>
      <c r="I321" s="303"/>
      <c r="J321" s="302">
        <v>0.17271933269154155</v>
      </c>
      <c r="K321" s="302">
        <v>0.38972205144712008</v>
      </c>
      <c r="L321" s="302">
        <f t="shared" si="126"/>
        <v>0.56244138413866163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0.52175677192463699</v>
      </c>
      <c r="C322" s="302">
        <v>2.4022707889143935</v>
      </c>
      <c r="D322" s="302">
        <f t="shared" si="124"/>
        <v>2.9240275608390305</v>
      </c>
      <c r="E322" s="303"/>
      <c r="F322" s="302">
        <v>0.48086752764089347</v>
      </c>
      <c r="G322" s="302">
        <v>1.7450949033615175</v>
      </c>
      <c r="H322" s="302">
        <f t="shared" si="125"/>
        <v>2.2259624310024111</v>
      </c>
      <c r="I322" s="303"/>
      <c r="J322" s="302">
        <v>0.45523070265030241</v>
      </c>
      <c r="K322" s="302">
        <v>1.5870166990601122</v>
      </c>
      <c r="L322" s="302">
        <f t="shared" si="126"/>
        <v>2.0422474017104149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0.17483882948536028</v>
      </c>
      <c r="C323" s="302">
        <v>0.75310265343813099</v>
      </c>
      <c r="D323" s="302">
        <f t="shared" si="124"/>
        <v>0.92794148292349132</v>
      </c>
      <c r="E323" s="303"/>
      <c r="F323" s="302">
        <v>0.17510987810904069</v>
      </c>
      <c r="G323" s="302">
        <v>0.54075384649936076</v>
      </c>
      <c r="H323" s="302">
        <f t="shared" si="125"/>
        <v>0.71586372460840142</v>
      </c>
      <c r="I323" s="303"/>
      <c r="J323" s="302">
        <v>0.12787983517355536</v>
      </c>
      <c r="K323" s="302">
        <v>0.31284130169752006</v>
      </c>
      <c r="L323" s="302">
        <f t="shared" si="126"/>
        <v>0.44072113687107539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32</v>
      </c>
      <c r="B325" s="311">
        <f>SUM(B315:B323)</f>
        <v>3.0169999999758788</v>
      </c>
      <c r="C325" s="311">
        <f t="shared" ref="C325:D325" si="127">SUM(C315:C323)</f>
        <v>15.852999999965228</v>
      </c>
      <c r="D325" s="311">
        <f t="shared" si="127"/>
        <v>18.869999999941108</v>
      </c>
      <c r="E325" s="311"/>
      <c r="F325" s="311">
        <f t="shared" ref="F325:H325" si="128">SUM(F315:F323)</f>
        <v>4.0409999999771689</v>
      </c>
      <c r="G325" s="311">
        <f t="shared" si="128"/>
        <v>14.264000000016766</v>
      </c>
      <c r="H325" s="311">
        <f t="shared" si="128"/>
        <v>18.304999999993935</v>
      </c>
      <c r="I325" s="311"/>
      <c r="J325" s="311">
        <f t="shared" ref="J325:L325" si="129">SUM(J315:J323)</f>
        <v>3.1820000000003184</v>
      </c>
      <c r="K325" s="311">
        <f t="shared" si="129"/>
        <v>11.515000000083912</v>
      </c>
      <c r="L325" s="311">
        <f t="shared" si="129"/>
        <v>14.697000000084234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name!A22</f>
        <v>Motor vehicles, etc</v>
      </c>
      <c r="B329" s="372">
        <f>B$6</f>
        <v>2015</v>
      </c>
      <c r="C329" s="372"/>
      <c r="D329" s="372"/>
      <c r="E329" s="253"/>
      <c r="F329" s="372">
        <f>F312</f>
        <v>2020</v>
      </c>
      <c r="G329" s="372"/>
      <c r="H329" s="372"/>
      <c r="I329" s="253"/>
      <c r="J329" s="372">
        <f>J312</f>
        <v>2035</v>
      </c>
      <c r="K329" s="372"/>
      <c r="L329" s="372"/>
      <c r="M329" s="236"/>
      <c r="N329" s="236"/>
    </row>
    <row r="330" spans="1:14" x14ac:dyDescent="0.2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6.7615962219566367E-2</v>
      </c>
      <c r="C332" s="302">
        <v>0.74319236877122508</v>
      </c>
      <c r="D332" s="302">
        <f>SUM(B332:C332)</f>
        <v>0.81080833099079141</v>
      </c>
      <c r="E332" s="303"/>
      <c r="F332" s="302">
        <v>0.10939278695005782</v>
      </c>
      <c r="G332" s="302">
        <v>0.74931582030634725</v>
      </c>
      <c r="H332" s="302">
        <f>SUM(F332:G332)</f>
        <v>0.85870860725640508</v>
      </c>
      <c r="I332" s="303"/>
      <c r="J332" s="302">
        <v>9.5694740500420233E-2</v>
      </c>
      <c r="K332" s="302">
        <v>0.64593357309714272</v>
      </c>
      <c r="L332" s="302">
        <f>SUM(J332:K332)</f>
        <v>0.74162831359756298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0.11118175875440164</v>
      </c>
      <c r="C333" s="302">
        <v>1.1677135282635707</v>
      </c>
      <c r="D333" s="302">
        <f t="shared" ref="D333:D340" si="130">SUM(B333:C333)</f>
        <v>1.2788952870179724</v>
      </c>
      <c r="E333" s="303"/>
      <c r="F333" s="302">
        <v>0.16276155422256341</v>
      </c>
      <c r="G333" s="302">
        <v>1.3230213587729398</v>
      </c>
      <c r="H333" s="302">
        <f t="shared" ref="H333:H340" si="131">SUM(F333:G333)</f>
        <v>1.4857829129955031</v>
      </c>
      <c r="I333" s="303"/>
      <c r="J333" s="302">
        <v>0.13481361029645886</v>
      </c>
      <c r="K333" s="302">
        <v>1.255609741653523</v>
      </c>
      <c r="L333" s="302">
        <f t="shared" ref="L333:L340" si="132">SUM(J333:K333)</f>
        <v>1.3904233519499818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0.11853130707071474</v>
      </c>
      <c r="C334" s="302">
        <v>0.51348455441015861</v>
      </c>
      <c r="D334" s="302">
        <f t="shared" si="130"/>
        <v>0.6320158614808733</v>
      </c>
      <c r="E334" s="303"/>
      <c r="F334" s="302">
        <v>0.14770022761803578</v>
      </c>
      <c r="G334" s="302">
        <v>0.56104421499048529</v>
      </c>
      <c r="H334" s="302">
        <f t="shared" si="131"/>
        <v>0.7087444426085211</v>
      </c>
      <c r="I334" s="303"/>
      <c r="J334" s="302">
        <v>0.10691033602340279</v>
      </c>
      <c r="K334" s="302">
        <v>0.42741023085365232</v>
      </c>
      <c r="L334" s="302">
        <f t="shared" si="132"/>
        <v>0.53432056687705509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0.20924405414483377</v>
      </c>
      <c r="C335" s="302">
        <v>0.4793528538854161</v>
      </c>
      <c r="D335" s="302">
        <f t="shared" si="130"/>
        <v>0.68859690803024987</v>
      </c>
      <c r="E335" s="303"/>
      <c r="F335" s="302">
        <v>0.21269197326913308</v>
      </c>
      <c r="G335" s="302">
        <v>0.50186743112726628</v>
      </c>
      <c r="H335" s="302">
        <f t="shared" si="131"/>
        <v>0.71455940439639942</v>
      </c>
      <c r="I335" s="303"/>
      <c r="J335" s="302">
        <v>0.12154423526122968</v>
      </c>
      <c r="K335" s="302">
        <v>0.45650745485045768</v>
      </c>
      <c r="L335" s="302">
        <f t="shared" si="132"/>
        <v>0.57805169011168733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9.0858852144531252E-2</v>
      </c>
      <c r="C336" s="302">
        <v>2.2499491354143664</v>
      </c>
      <c r="D336" s="302">
        <f t="shared" si="130"/>
        <v>2.3408079875588976</v>
      </c>
      <c r="E336" s="303"/>
      <c r="F336" s="302">
        <v>0.11577348043868177</v>
      </c>
      <c r="G336" s="302">
        <v>1.7271469515823146</v>
      </c>
      <c r="H336" s="302">
        <f t="shared" si="131"/>
        <v>1.8429204320209964</v>
      </c>
      <c r="I336" s="303"/>
      <c r="J336" s="302">
        <v>0.23986345171358886</v>
      </c>
      <c r="K336" s="302">
        <v>1.2128094613877567</v>
      </c>
      <c r="L336" s="302">
        <f t="shared" si="132"/>
        <v>1.4526729131013456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4.4167930911410275E-2</v>
      </c>
      <c r="C337" s="302">
        <v>9.0141748538260194E-2</v>
      </c>
      <c r="D337" s="302">
        <f t="shared" si="130"/>
        <v>0.13430967944967048</v>
      </c>
      <c r="E337" s="303"/>
      <c r="F337" s="302">
        <v>4.5720735979102388E-2</v>
      </c>
      <c r="G337" s="302">
        <v>9.7103262129354703E-2</v>
      </c>
      <c r="H337" s="302">
        <f t="shared" si="131"/>
        <v>0.14282399810845708</v>
      </c>
      <c r="I337" s="303"/>
      <c r="J337" s="302">
        <v>4.5525687000804525E-2</v>
      </c>
      <c r="K337" s="302">
        <v>0.13642678803009314</v>
      </c>
      <c r="L337" s="302">
        <f t="shared" si="132"/>
        <v>0.18195247503089768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3.5092831111304096E-2</v>
      </c>
      <c r="C338" s="302">
        <v>0.21383055369299123</v>
      </c>
      <c r="D338" s="302">
        <f t="shared" si="130"/>
        <v>0.24892338480429532</v>
      </c>
      <c r="E338" s="303"/>
      <c r="F338" s="302">
        <v>3.6500270529221793E-2</v>
      </c>
      <c r="G338" s="302">
        <v>0.18514978444367713</v>
      </c>
      <c r="H338" s="302">
        <f t="shared" si="131"/>
        <v>0.22165005497289891</v>
      </c>
      <c r="I338" s="303"/>
      <c r="J338" s="302">
        <v>3.4065004703636957E-2</v>
      </c>
      <c r="K338" s="302">
        <v>0.18315865334142939</v>
      </c>
      <c r="L338" s="302">
        <f t="shared" si="132"/>
        <v>0.21722365804506635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0.21177748009026356</v>
      </c>
      <c r="C339" s="302">
        <v>2.0340023811169812</v>
      </c>
      <c r="D339" s="302">
        <f t="shared" si="130"/>
        <v>2.2457798612072448</v>
      </c>
      <c r="E339" s="303"/>
      <c r="F339" s="302">
        <v>0.18167966027683566</v>
      </c>
      <c r="G339" s="302">
        <v>1.5264989064961654</v>
      </c>
      <c r="H339" s="302">
        <f t="shared" si="131"/>
        <v>1.708178566773001</v>
      </c>
      <c r="I339" s="303"/>
      <c r="J339" s="302">
        <v>0.17148412982107589</v>
      </c>
      <c r="K339" s="302">
        <v>1.419303395625434</v>
      </c>
      <c r="L339" s="302">
        <f t="shared" si="132"/>
        <v>1.5907875254465098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4.0529823543804112E-2</v>
      </c>
      <c r="C340" s="302">
        <v>0.40633287591079265</v>
      </c>
      <c r="D340" s="302">
        <f t="shared" si="130"/>
        <v>0.44686269945459678</v>
      </c>
      <c r="E340" s="303"/>
      <c r="F340" s="302">
        <v>3.1779310711018034E-2</v>
      </c>
      <c r="G340" s="302">
        <v>0.3038522701850811</v>
      </c>
      <c r="H340" s="302">
        <f t="shared" si="131"/>
        <v>0.33563158089609912</v>
      </c>
      <c r="I340" s="303"/>
      <c r="J340" s="302">
        <v>2.0098804682571431E-2</v>
      </c>
      <c r="K340" s="302">
        <v>0.17784070121734721</v>
      </c>
      <c r="L340" s="302">
        <f t="shared" si="132"/>
        <v>0.19793950589991866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32</v>
      </c>
      <c r="B342" s="311">
        <f>SUM(B332:B340)</f>
        <v>0.92899999999082972</v>
      </c>
      <c r="C342" s="311">
        <f t="shared" ref="C342:D342" si="133">SUM(C332:C340)</f>
        <v>7.8980000000037629</v>
      </c>
      <c r="D342" s="311">
        <f t="shared" si="133"/>
        <v>8.8269999999945927</v>
      </c>
      <c r="E342" s="311"/>
      <c r="F342" s="311">
        <f t="shared" ref="F342:H342" si="134">SUM(F332:F340)</f>
        <v>1.0439999999946497</v>
      </c>
      <c r="G342" s="311">
        <f t="shared" si="134"/>
        <v>6.9750000000336314</v>
      </c>
      <c r="H342" s="311">
        <f t="shared" si="134"/>
        <v>8.0190000000282815</v>
      </c>
      <c r="I342" s="311"/>
      <c r="J342" s="311">
        <f t="shared" ref="J342:L342" si="135">SUM(J332:J340)</f>
        <v>0.97000000000318909</v>
      </c>
      <c r="K342" s="311">
        <f t="shared" si="135"/>
        <v>5.9150000000568355</v>
      </c>
      <c r="L342" s="311">
        <f t="shared" si="135"/>
        <v>6.8850000000600255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name!A23</f>
        <v>Other transport equipment</v>
      </c>
      <c r="B346" s="372">
        <f>B$6</f>
        <v>2015</v>
      </c>
      <c r="C346" s="372"/>
      <c r="D346" s="372"/>
      <c r="E346" s="253"/>
      <c r="F346" s="372">
        <f>F329</f>
        <v>2020</v>
      </c>
      <c r="G346" s="372"/>
      <c r="H346" s="372"/>
      <c r="I346" s="253"/>
      <c r="J346" s="372">
        <f>J329</f>
        <v>2035</v>
      </c>
      <c r="K346" s="372"/>
      <c r="L346" s="372"/>
      <c r="M346" s="236"/>
      <c r="N346" s="236"/>
    </row>
    <row r="347" spans="1:14" x14ac:dyDescent="0.2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0.2812910461030913</v>
      </c>
      <c r="C349" s="302">
        <v>2.7793117143703361</v>
      </c>
      <c r="D349" s="302">
        <f>SUM(B349:C349)</f>
        <v>3.0606027604734276</v>
      </c>
      <c r="E349" s="303"/>
      <c r="F349" s="302">
        <v>0.45007883746682903</v>
      </c>
      <c r="G349" s="302">
        <v>3.3006396655588195</v>
      </c>
      <c r="H349" s="302">
        <f>SUM(F349:G349)</f>
        <v>3.7507185030256487</v>
      </c>
      <c r="I349" s="303"/>
      <c r="J349" s="302">
        <v>0.46487050600496499</v>
      </c>
      <c r="K349" s="302">
        <v>3.3528531309953613</v>
      </c>
      <c r="L349" s="302">
        <f>SUM(J349:K349)</f>
        <v>3.8177236370003262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0.42434070840103194</v>
      </c>
      <c r="C350" s="302">
        <v>6.0160753718737503</v>
      </c>
      <c r="D350" s="302">
        <f t="shared" ref="D350:D357" si="136">SUM(B350:C350)</f>
        <v>6.4404160802747823</v>
      </c>
      <c r="E350" s="303"/>
      <c r="F350" s="302">
        <v>0.68648127427692385</v>
      </c>
      <c r="G350" s="302">
        <v>7.7035313109277324</v>
      </c>
      <c r="H350" s="302">
        <f t="shared" ref="H350:H357" si="137">SUM(F350:G350)</f>
        <v>8.3900125852046568</v>
      </c>
      <c r="I350" s="303"/>
      <c r="J350" s="302">
        <v>0.62425566708119617</v>
      </c>
      <c r="K350" s="302">
        <v>8.7850474220744221</v>
      </c>
      <c r="L350" s="302">
        <f t="shared" ref="L350:L357" si="138">SUM(J350:K350)</f>
        <v>9.4093030891556175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0.39628016678336542</v>
      </c>
      <c r="C351" s="302">
        <v>2.3624798569592933</v>
      </c>
      <c r="D351" s="302">
        <f t="shared" si="136"/>
        <v>2.7587600237426586</v>
      </c>
      <c r="E351" s="303"/>
      <c r="F351" s="302">
        <v>0.57198392253904629</v>
      </c>
      <c r="G351" s="302">
        <v>2.9335413468237821</v>
      </c>
      <c r="H351" s="302">
        <f t="shared" si="137"/>
        <v>3.5055252693628285</v>
      </c>
      <c r="I351" s="303"/>
      <c r="J351" s="302">
        <v>0.48926917534636982</v>
      </c>
      <c r="K351" s="302">
        <v>2.7264076881386203</v>
      </c>
      <c r="L351" s="302">
        <f t="shared" si="138"/>
        <v>3.2156768634849904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1.511630286043649</v>
      </c>
      <c r="C352" s="302">
        <v>1.1745211645822891</v>
      </c>
      <c r="D352" s="302">
        <f t="shared" si="136"/>
        <v>2.6861514506259381</v>
      </c>
      <c r="E352" s="303"/>
      <c r="F352" s="302">
        <v>1.9908719180380035</v>
      </c>
      <c r="G352" s="302">
        <v>1.3412388128921162</v>
      </c>
      <c r="H352" s="302">
        <f t="shared" si="137"/>
        <v>3.3321107309301197</v>
      </c>
      <c r="I352" s="303"/>
      <c r="J352" s="302">
        <v>2.2221033128722909</v>
      </c>
      <c r="K352" s="302">
        <v>1.3764686029501503</v>
      </c>
      <c r="L352" s="302">
        <f t="shared" si="138"/>
        <v>3.5985719158224412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0.27153954171832728</v>
      </c>
      <c r="C353" s="302">
        <v>12.39042881219261</v>
      </c>
      <c r="D353" s="302">
        <f t="shared" si="136"/>
        <v>12.661968353910938</v>
      </c>
      <c r="E353" s="303"/>
      <c r="F353" s="302">
        <v>0.41045862184545556</v>
      </c>
      <c r="G353" s="302">
        <v>10.880627411518349</v>
      </c>
      <c r="H353" s="302">
        <f t="shared" si="137"/>
        <v>11.291086033363804</v>
      </c>
      <c r="I353" s="303"/>
      <c r="J353" s="302">
        <v>1.0073203829666699</v>
      </c>
      <c r="K353" s="302">
        <v>9.2792925210445638</v>
      </c>
      <c r="L353" s="302">
        <f t="shared" si="138"/>
        <v>10.286612904011234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4.7021853836236659E-2</v>
      </c>
      <c r="C354" s="302">
        <v>5.7915168607523902E-2</v>
      </c>
      <c r="D354" s="302">
        <f t="shared" si="136"/>
        <v>0.10493702244376056</v>
      </c>
      <c r="E354" s="303"/>
      <c r="F354" s="302">
        <v>7.3182565781351128E-2</v>
      </c>
      <c r="G354" s="302">
        <v>7.0443177470486687E-2</v>
      </c>
      <c r="H354" s="302">
        <f t="shared" si="137"/>
        <v>0.1436257432518378</v>
      </c>
      <c r="I354" s="303"/>
      <c r="J354" s="302">
        <v>5.892707969210887E-2</v>
      </c>
      <c r="K354" s="302">
        <v>8.923857740046616E-2</v>
      </c>
      <c r="L354" s="302">
        <f t="shared" si="138"/>
        <v>0.14816565709257504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0.1697170676478113</v>
      </c>
      <c r="C355" s="302">
        <v>0.40363365584118605</v>
      </c>
      <c r="D355" s="302">
        <f t="shared" si="136"/>
        <v>0.5733507234889974</v>
      </c>
      <c r="E355" s="303"/>
      <c r="F355" s="302">
        <v>0.22339775452658098</v>
      </c>
      <c r="G355" s="302">
        <v>0.47119694747679153</v>
      </c>
      <c r="H355" s="302">
        <f t="shared" si="137"/>
        <v>0.69459470200337248</v>
      </c>
      <c r="I355" s="303"/>
      <c r="J355" s="302">
        <v>0.27097594988177881</v>
      </c>
      <c r="K355" s="302">
        <v>0.59743319344109269</v>
      </c>
      <c r="L355" s="302">
        <f t="shared" si="138"/>
        <v>0.86840914332287156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0.214901187240333</v>
      </c>
      <c r="C356" s="302">
        <v>4.123954168120469</v>
      </c>
      <c r="D356" s="302">
        <f t="shared" si="136"/>
        <v>4.3388553553608018</v>
      </c>
      <c r="E356" s="303"/>
      <c r="F356" s="302">
        <v>0.21240245414120471</v>
      </c>
      <c r="G356" s="302">
        <v>3.4474956469374818</v>
      </c>
      <c r="H356" s="302">
        <f t="shared" si="137"/>
        <v>3.6598981010786864</v>
      </c>
      <c r="I356" s="303"/>
      <c r="J356" s="302">
        <v>0.28220430685830972</v>
      </c>
      <c r="K356" s="302">
        <v>4.0564892421570597</v>
      </c>
      <c r="L356" s="302">
        <f t="shared" si="138"/>
        <v>4.3386935490153693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0.10127814220112642</v>
      </c>
      <c r="C357" s="302">
        <v>0.72768008739435008</v>
      </c>
      <c r="D357" s="302">
        <f t="shared" si="136"/>
        <v>0.82895822959547649</v>
      </c>
      <c r="E357" s="303"/>
      <c r="F357" s="302">
        <v>0.12814265136288586</v>
      </c>
      <c r="G357" s="302">
        <v>0.60828568041526687</v>
      </c>
      <c r="H357" s="302">
        <f t="shared" si="137"/>
        <v>0.7364283317781527</v>
      </c>
      <c r="I357" s="303"/>
      <c r="J357" s="302">
        <v>0.14007361930314136</v>
      </c>
      <c r="K357" s="302">
        <v>0.4337696219039428</v>
      </c>
      <c r="L357" s="302">
        <f t="shared" si="138"/>
        <v>0.57384324120708419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32</v>
      </c>
      <c r="B359" s="311">
        <f>SUM(B349:B357)</f>
        <v>3.4179999999749726</v>
      </c>
      <c r="C359" s="311">
        <f t="shared" ref="C359:D359" si="139">SUM(C349:C357)</f>
        <v>30.035999999941811</v>
      </c>
      <c r="D359" s="311">
        <f t="shared" si="139"/>
        <v>33.453999999916775</v>
      </c>
      <c r="E359" s="311"/>
      <c r="F359" s="311">
        <f t="shared" ref="F359:H359" si="140">SUM(F349:F357)</f>
        <v>4.7469999999782804</v>
      </c>
      <c r="G359" s="311">
        <f t="shared" si="140"/>
        <v>30.757000000020827</v>
      </c>
      <c r="H359" s="311">
        <f t="shared" si="140"/>
        <v>35.503999999999102</v>
      </c>
      <c r="I359" s="311"/>
      <c r="J359" s="311">
        <f t="shared" ref="J359:L359" si="141">SUM(J349:J357)</f>
        <v>5.5600000000068297</v>
      </c>
      <c r="K359" s="311">
        <f t="shared" si="141"/>
        <v>30.697000000105675</v>
      </c>
      <c r="L359" s="311">
        <f t="shared" si="141"/>
        <v>36.257000000112512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name!A24</f>
        <v>Furniture</v>
      </c>
      <c r="B363" s="372">
        <f>B$6</f>
        <v>2015</v>
      </c>
      <c r="C363" s="372"/>
      <c r="D363" s="372"/>
      <c r="E363" s="253"/>
      <c r="F363" s="372">
        <f>F346</f>
        <v>2020</v>
      </c>
      <c r="G363" s="372"/>
      <c r="H363" s="372"/>
      <c r="I363" s="253"/>
      <c r="J363" s="372">
        <f>J346</f>
        <v>2035</v>
      </c>
      <c r="K363" s="372"/>
      <c r="L363" s="372"/>
      <c r="M363" s="236"/>
      <c r="N363" s="236"/>
    </row>
    <row r="364" spans="1:14" x14ac:dyDescent="0.2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0.14614261715908228</v>
      </c>
      <c r="C366" s="302">
        <v>0.58031004420498478</v>
      </c>
      <c r="D366" s="302">
        <f>SUM(B366:C366)</f>
        <v>0.72645266136406705</v>
      </c>
      <c r="E366" s="303"/>
      <c r="F366" s="302">
        <v>0.10036557421528609</v>
      </c>
      <c r="G366" s="302">
        <v>0.58060452201852053</v>
      </c>
      <c r="H366" s="302">
        <f>SUM(F366:G366)</f>
        <v>0.68097009623380667</v>
      </c>
      <c r="I366" s="303"/>
      <c r="J366" s="302">
        <v>9.7667760962083086E-2</v>
      </c>
      <c r="K366" s="302">
        <v>0.56439276038008956</v>
      </c>
      <c r="L366" s="302">
        <f>SUM(J366:K366)</f>
        <v>0.66206052134217264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0.13874875377182899</v>
      </c>
      <c r="C367" s="302">
        <v>0.40281147455790939</v>
      </c>
      <c r="D367" s="302">
        <f t="shared" ref="D367:D374" si="142">SUM(B367:C367)</f>
        <v>0.54156022832973838</v>
      </c>
      <c r="E367" s="303"/>
      <c r="F367" s="302">
        <v>0.10333719778030072</v>
      </c>
      <c r="G367" s="302">
        <v>0.49441538214573744</v>
      </c>
      <c r="H367" s="302">
        <f t="shared" ref="H367:H374" si="143">SUM(F367:G367)</f>
        <v>0.59775257992603814</v>
      </c>
      <c r="I367" s="303"/>
      <c r="J367" s="302">
        <v>0.10659214299293969</v>
      </c>
      <c r="K367" s="302">
        <v>0.56256933986632629</v>
      </c>
      <c r="L367" s="302">
        <f t="shared" ref="L367:L374" si="144">SUM(J367:K367)</f>
        <v>0.66916148285926602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0.16916013890748585</v>
      </c>
      <c r="C368" s="302">
        <v>0.35641780252666455</v>
      </c>
      <c r="D368" s="302">
        <f t="shared" si="142"/>
        <v>0.52557794143415038</v>
      </c>
      <c r="E368" s="303"/>
      <c r="F368" s="302">
        <v>0.10020571010874681</v>
      </c>
      <c r="G368" s="302">
        <v>0.39340301380934362</v>
      </c>
      <c r="H368" s="302">
        <f t="shared" si="143"/>
        <v>0.49360872391809041</v>
      </c>
      <c r="I368" s="303"/>
      <c r="J368" s="302">
        <v>8.8970057831242913E-2</v>
      </c>
      <c r="K368" s="302">
        <v>0.36322040401158467</v>
      </c>
      <c r="L368" s="302">
        <f t="shared" si="144"/>
        <v>0.45219046184282757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0.46071906969678161</v>
      </c>
      <c r="C369" s="302">
        <v>0.40319412191392046</v>
      </c>
      <c r="D369" s="302">
        <f t="shared" si="142"/>
        <v>0.86391319161070212</v>
      </c>
      <c r="E369" s="303"/>
      <c r="F369" s="302">
        <v>0.18649973807304698</v>
      </c>
      <c r="G369" s="302">
        <v>0.41875854785760941</v>
      </c>
      <c r="H369" s="302">
        <f t="shared" si="143"/>
        <v>0.60525828593065634</v>
      </c>
      <c r="I369" s="303"/>
      <c r="J369" s="302">
        <v>0.12051484325384865</v>
      </c>
      <c r="K369" s="302">
        <v>0.4212912043970683</v>
      </c>
      <c r="L369" s="302">
        <f t="shared" si="144"/>
        <v>0.541806047650917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0.11742889237450144</v>
      </c>
      <c r="C370" s="302">
        <v>3.6257702618084036</v>
      </c>
      <c r="D370" s="302">
        <f t="shared" si="142"/>
        <v>3.7431991541829048</v>
      </c>
      <c r="E370" s="303"/>
      <c r="F370" s="302">
        <v>8.2770931608522766E-2</v>
      </c>
      <c r="G370" s="302">
        <v>2.4311706490161495</v>
      </c>
      <c r="H370" s="302">
        <f t="shared" si="143"/>
        <v>2.5139415806246723</v>
      </c>
      <c r="I370" s="303"/>
      <c r="J370" s="302">
        <v>9.197533722161326E-2</v>
      </c>
      <c r="K370" s="302">
        <v>2.0895535922496848</v>
      </c>
      <c r="L370" s="302">
        <f t="shared" si="144"/>
        <v>2.1815289294712983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3.4377882061271313E-2</v>
      </c>
      <c r="C371" s="302">
        <v>1.0437638621407447E-2</v>
      </c>
      <c r="D371" s="302">
        <f t="shared" si="142"/>
        <v>4.4815520682678758E-2</v>
      </c>
      <c r="E371" s="303"/>
      <c r="F371" s="302">
        <v>5.3509137987877417E-2</v>
      </c>
      <c r="G371" s="302">
        <v>1.4379790009012633E-2</v>
      </c>
      <c r="H371" s="302">
        <f t="shared" si="143"/>
        <v>6.7888927996890044E-2</v>
      </c>
      <c r="I371" s="303"/>
      <c r="J371" s="302">
        <v>4.4751810498901069E-2</v>
      </c>
      <c r="K371" s="302">
        <v>1.7949513205079776E-2</v>
      </c>
      <c r="L371" s="302">
        <f t="shared" si="144"/>
        <v>6.2701323703980849E-2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0.11883256310952953</v>
      </c>
      <c r="C372" s="302">
        <v>0.30137672628916035</v>
      </c>
      <c r="D372" s="302">
        <f t="shared" si="142"/>
        <v>0.42020928939868984</v>
      </c>
      <c r="E372" s="303"/>
      <c r="F372" s="302">
        <v>4.7797918171953654E-2</v>
      </c>
      <c r="G372" s="302">
        <v>0.25680810297315892</v>
      </c>
      <c r="H372" s="302">
        <f t="shared" si="143"/>
        <v>0.30460602114511259</v>
      </c>
      <c r="I372" s="303"/>
      <c r="J372" s="302">
        <v>4.1523477997316503E-2</v>
      </c>
      <c r="K372" s="302">
        <v>0.2735765603393755</v>
      </c>
      <c r="L372" s="302">
        <f t="shared" si="144"/>
        <v>0.31510003833669198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0.18280253608012503</v>
      </c>
      <c r="C373" s="302">
        <v>0.82586967298614578</v>
      </c>
      <c r="D373" s="302">
        <f t="shared" si="142"/>
        <v>1.0086722090662708</v>
      </c>
      <c r="E373" s="303"/>
      <c r="F373" s="302">
        <v>0.26930938663584686</v>
      </c>
      <c r="G373" s="302">
        <v>0.62275678477582708</v>
      </c>
      <c r="H373" s="302">
        <f t="shared" si="143"/>
        <v>0.89206617141167399</v>
      </c>
      <c r="I373" s="303"/>
      <c r="J373" s="302">
        <v>0.26409747873524203</v>
      </c>
      <c r="K373" s="302">
        <v>0.61296741741705407</v>
      </c>
      <c r="L373" s="302">
        <f t="shared" si="144"/>
        <v>0.8770648961522961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7.3787546831158526E-2</v>
      </c>
      <c r="C374" s="302">
        <v>0.41481225709062719</v>
      </c>
      <c r="D374" s="302">
        <f t="shared" si="142"/>
        <v>0.4885998039217857</v>
      </c>
      <c r="E374" s="303"/>
      <c r="F374" s="302">
        <v>6.9204405415683651E-2</v>
      </c>
      <c r="G374" s="302">
        <v>0.32870320743346315</v>
      </c>
      <c r="H374" s="302">
        <f t="shared" si="143"/>
        <v>0.39790761284914677</v>
      </c>
      <c r="I374" s="303"/>
      <c r="J374" s="302">
        <v>5.290709050125024E-2</v>
      </c>
      <c r="K374" s="302">
        <v>0.23047920819782439</v>
      </c>
      <c r="L374" s="302">
        <f t="shared" si="144"/>
        <v>0.28338629869907461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32</v>
      </c>
      <c r="B376" s="311">
        <f>SUM(B366:B374)</f>
        <v>1.4419999999917648</v>
      </c>
      <c r="C376" s="311">
        <f t="shared" ref="C376:D376" si="145">SUM(C366:C374)</f>
        <v>6.920999999999224</v>
      </c>
      <c r="D376" s="311">
        <f t="shared" si="145"/>
        <v>8.3629999999909881</v>
      </c>
      <c r="E376" s="311"/>
      <c r="F376" s="311">
        <f t="shared" ref="F376:H376" si="146">SUM(F366:F374)</f>
        <v>1.012999999997265</v>
      </c>
      <c r="G376" s="311">
        <f t="shared" si="146"/>
        <v>5.5410000000388235</v>
      </c>
      <c r="H376" s="311">
        <f t="shared" si="146"/>
        <v>6.554000000036087</v>
      </c>
      <c r="I376" s="311"/>
      <c r="J376" s="311">
        <f t="shared" ref="J376:L376" si="147">SUM(J366:J374)</f>
        <v>0.90899999999443737</v>
      </c>
      <c r="K376" s="311">
        <f t="shared" si="147"/>
        <v>5.1360000000640875</v>
      </c>
      <c r="L376" s="311">
        <f t="shared" si="147"/>
        <v>6.0450000000585256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name!A25</f>
        <v>Other manufacturing</v>
      </c>
      <c r="B380" s="372">
        <f>B$6</f>
        <v>2015</v>
      </c>
      <c r="C380" s="372"/>
      <c r="D380" s="372"/>
      <c r="E380" s="253"/>
      <c r="F380" s="372">
        <f>F363</f>
        <v>2020</v>
      </c>
      <c r="G380" s="372"/>
      <c r="H380" s="372"/>
      <c r="I380" s="253"/>
      <c r="J380" s="372">
        <f>J363</f>
        <v>2035</v>
      </c>
      <c r="K380" s="372"/>
      <c r="L380" s="372"/>
      <c r="M380" s="236"/>
      <c r="N380" s="236"/>
    </row>
    <row r="381" spans="1:14" x14ac:dyDescent="0.2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0.38294195272303749</v>
      </c>
      <c r="C383" s="302">
        <v>0.47554701246008307</v>
      </c>
      <c r="D383" s="302">
        <f>SUM(B383:C383)</f>
        <v>0.85848896518312057</v>
      </c>
      <c r="E383" s="303"/>
      <c r="F383" s="302">
        <v>0.92981583851005989</v>
      </c>
      <c r="G383" s="302">
        <v>1.4460001765272481</v>
      </c>
      <c r="H383" s="302">
        <f>SUM(F383:G383)</f>
        <v>2.3758160150373078</v>
      </c>
      <c r="I383" s="303"/>
      <c r="J383" s="302">
        <v>0.8885662468985529</v>
      </c>
      <c r="K383" s="302">
        <v>1.4923449868200023</v>
      </c>
      <c r="L383" s="302">
        <f>SUM(J383:K383)</f>
        <v>2.380911233718555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0.39325882581550442</v>
      </c>
      <c r="C384" s="302">
        <v>0.45487808583048184</v>
      </c>
      <c r="D384" s="302">
        <f t="shared" ref="D384:D391" si="148">SUM(B384:C384)</f>
        <v>0.84813691164598626</v>
      </c>
      <c r="E384" s="303"/>
      <c r="F384" s="302">
        <v>1.0042508423797094</v>
      </c>
      <c r="G384" s="302">
        <v>1.8055272620676897</v>
      </c>
      <c r="H384" s="302">
        <f t="shared" ref="H384:H391" si="149">SUM(F384:G384)</f>
        <v>2.8097781044473988</v>
      </c>
      <c r="I384" s="303"/>
      <c r="J384" s="302">
        <v>1.0025490834874515</v>
      </c>
      <c r="K384" s="302">
        <v>2.4091846084391029</v>
      </c>
      <c r="L384" s="302">
        <f t="shared" ref="L384:L391" si="150">SUM(J384:K384)</f>
        <v>3.4117336919265542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0.40851462066790584</v>
      </c>
      <c r="C385" s="302">
        <v>0.30052424676027445</v>
      </c>
      <c r="D385" s="302">
        <f t="shared" si="148"/>
        <v>0.70903886742818023</v>
      </c>
      <c r="E385" s="303"/>
      <c r="F385" s="302">
        <v>0.95774325072998601</v>
      </c>
      <c r="G385" s="302">
        <v>0.95851773443166632</v>
      </c>
      <c r="H385" s="302">
        <f t="shared" si="149"/>
        <v>1.9162609851616523</v>
      </c>
      <c r="I385" s="303"/>
      <c r="J385" s="302">
        <v>0.82246946328506287</v>
      </c>
      <c r="K385" s="302">
        <v>0.92188555487116119</v>
      </c>
      <c r="L385" s="302">
        <f t="shared" si="150"/>
        <v>1.7443550181562242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0.82416987405404596</v>
      </c>
      <c r="C386" s="302">
        <v>0.22681606752967551</v>
      </c>
      <c r="D386" s="302">
        <f t="shared" si="148"/>
        <v>1.0509859415837215</v>
      </c>
      <c r="E386" s="303"/>
      <c r="F386" s="302">
        <v>1.8023331007249865</v>
      </c>
      <c r="G386" s="302">
        <v>0.55242854121046714</v>
      </c>
      <c r="H386" s="302">
        <f t="shared" si="149"/>
        <v>2.3547616419354536</v>
      </c>
      <c r="I386" s="303"/>
      <c r="J386" s="302">
        <v>1.1661306632284529</v>
      </c>
      <c r="K386" s="302">
        <v>0.45715428176393724</v>
      </c>
      <c r="L386" s="302">
        <f t="shared" si="150"/>
        <v>1.6232849449923901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0.3358486077739618</v>
      </c>
      <c r="C387" s="302">
        <v>2.1029355867301303</v>
      </c>
      <c r="D387" s="302">
        <f t="shared" si="148"/>
        <v>2.438784194504092</v>
      </c>
      <c r="E387" s="303"/>
      <c r="F387" s="302">
        <v>0.68777241188624061</v>
      </c>
      <c r="G387" s="302">
        <v>3.793494126427674</v>
      </c>
      <c r="H387" s="302">
        <f t="shared" si="149"/>
        <v>4.481266538313915</v>
      </c>
      <c r="I387" s="303"/>
      <c r="J387" s="302">
        <v>0.952007515220478</v>
      </c>
      <c r="K387" s="302">
        <v>2.7835953098797552</v>
      </c>
      <c r="L387" s="302">
        <f t="shared" si="150"/>
        <v>3.7356028251002331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5.6749036597432946E-2</v>
      </c>
      <c r="C388" s="302">
        <v>9.6174721848366947E-3</v>
      </c>
      <c r="D388" s="302">
        <f t="shared" si="148"/>
        <v>6.6366508782269643E-2</v>
      </c>
      <c r="E388" s="303"/>
      <c r="F388" s="302">
        <v>0.26961741591061655</v>
      </c>
      <c r="G388" s="302">
        <v>3.8779885992093331E-2</v>
      </c>
      <c r="H388" s="302">
        <f t="shared" si="149"/>
        <v>0.30839730190270986</v>
      </c>
      <c r="I388" s="303"/>
      <c r="J388" s="302">
        <v>0.21799977245510085</v>
      </c>
      <c r="K388" s="302">
        <v>5.1519854419610926E-2</v>
      </c>
      <c r="L388" s="302">
        <f t="shared" si="150"/>
        <v>0.26951962687471176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0.21222117816137295</v>
      </c>
      <c r="C389" s="302">
        <v>0.17932195655407554</v>
      </c>
      <c r="D389" s="302">
        <f t="shared" si="148"/>
        <v>0.39154313471544849</v>
      </c>
      <c r="E389" s="303"/>
      <c r="F389" s="302">
        <v>0.46618389795310816</v>
      </c>
      <c r="G389" s="302">
        <v>0.3736081037976694</v>
      </c>
      <c r="H389" s="302">
        <f t="shared" si="149"/>
        <v>0.83979200175077762</v>
      </c>
      <c r="I389" s="303"/>
      <c r="J389" s="302">
        <v>0.41953986803856091</v>
      </c>
      <c r="K389" s="302">
        <v>0.33983202932873779</v>
      </c>
      <c r="L389" s="302">
        <f t="shared" si="150"/>
        <v>0.75937189736729871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0.55679026231987794</v>
      </c>
      <c r="C390" s="302">
        <v>0.49322591800641646</v>
      </c>
      <c r="D390" s="302">
        <f t="shared" si="148"/>
        <v>1.0500161803262944</v>
      </c>
      <c r="E390" s="303"/>
      <c r="F390" s="302">
        <v>1.5514745131860987</v>
      </c>
      <c r="G390" s="302">
        <v>1.0929427448281435</v>
      </c>
      <c r="H390" s="302">
        <f t="shared" si="149"/>
        <v>2.6444172580142422</v>
      </c>
      <c r="I390" s="303"/>
      <c r="J390" s="302">
        <v>1.6005226570328241</v>
      </c>
      <c r="K390" s="302">
        <v>0.9578880409326298</v>
      </c>
      <c r="L390" s="302">
        <f t="shared" si="150"/>
        <v>2.5584106979654537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0.1305056418597958</v>
      </c>
      <c r="C391" s="302">
        <v>0.24213365394043498</v>
      </c>
      <c r="D391" s="302">
        <f t="shared" si="148"/>
        <v>0.37263929580023081</v>
      </c>
      <c r="E391" s="303"/>
      <c r="F391" s="302">
        <v>0.3998087287002236</v>
      </c>
      <c r="G391" s="302">
        <v>0.44370142476131774</v>
      </c>
      <c r="H391" s="302">
        <f t="shared" si="149"/>
        <v>0.84351015346154135</v>
      </c>
      <c r="I391" s="303"/>
      <c r="J391" s="302">
        <v>0.30021473033078433</v>
      </c>
      <c r="K391" s="302">
        <v>0.23159533359482071</v>
      </c>
      <c r="L391" s="302">
        <f t="shared" si="150"/>
        <v>0.53181006392560504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32</v>
      </c>
      <c r="B393" s="311">
        <f>SUM(B383:B391)</f>
        <v>3.3009999999729347</v>
      </c>
      <c r="C393" s="311">
        <f t="shared" ref="C393:D393" si="151">SUM(C383:C391)</f>
        <v>4.4849999999964085</v>
      </c>
      <c r="D393" s="311">
        <f t="shared" si="151"/>
        <v>7.785999999969345</v>
      </c>
      <c r="E393" s="311"/>
      <c r="F393" s="311">
        <f t="shared" ref="F393:H393" si="152">SUM(F383:F391)</f>
        <v>8.0689999999810293</v>
      </c>
      <c r="G393" s="311">
        <f t="shared" si="152"/>
        <v>10.505000000043971</v>
      </c>
      <c r="H393" s="311">
        <f t="shared" si="152"/>
        <v>18.574000000024999</v>
      </c>
      <c r="I393" s="311"/>
      <c r="J393" s="311">
        <f t="shared" ref="J393:L393" si="153">SUM(J383:J391)</f>
        <v>7.369999999977269</v>
      </c>
      <c r="K393" s="311">
        <f t="shared" si="153"/>
        <v>9.6450000000497607</v>
      </c>
      <c r="L393" s="311">
        <f t="shared" si="153"/>
        <v>17.015000000027026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2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2">
      <c r="A397" s="241" t="str">
        <f>name!A26</f>
        <v>Repair and installation</v>
      </c>
      <c r="B397" s="372">
        <f>B$6</f>
        <v>2015</v>
      </c>
      <c r="C397" s="372"/>
      <c r="D397" s="372"/>
      <c r="E397" s="253"/>
      <c r="F397" s="372">
        <f>F380</f>
        <v>2020</v>
      </c>
      <c r="G397" s="372"/>
      <c r="H397" s="372"/>
      <c r="I397" s="253"/>
      <c r="J397" s="372">
        <f>J380</f>
        <v>2035</v>
      </c>
      <c r="K397" s="372"/>
      <c r="L397" s="372"/>
      <c r="M397" s="236"/>
      <c r="N397" s="236"/>
    </row>
    <row r="398" spans="1:14" x14ac:dyDescent="0.2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2">
      <c r="A400" s="237" t="str">
        <f>name!E$4</f>
        <v>Managers, directors and senior officials</v>
      </c>
      <c r="B400" s="302">
        <v>0.11219865964640022</v>
      </c>
      <c r="C400" s="302">
        <v>1.2352272218613731</v>
      </c>
      <c r="D400" s="302">
        <f>SUM(B400:C400)</f>
        <v>1.3474258815077733</v>
      </c>
      <c r="E400" s="303"/>
      <c r="F400" s="302">
        <v>0.21522777840755222</v>
      </c>
      <c r="G400" s="302">
        <v>1.1690324483093293</v>
      </c>
      <c r="H400" s="302">
        <f>SUM(F400:G400)</f>
        <v>1.3842602267168815</v>
      </c>
      <c r="I400" s="303"/>
      <c r="J400" s="302">
        <v>0.1814913327973651</v>
      </c>
      <c r="K400" s="302">
        <v>1.1295873505864025</v>
      </c>
      <c r="L400" s="302">
        <f>SUM(J400:K400)</f>
        <v>1.3110786833837675</v>
      </c>
      <c r="M400" s="236"/>
      <c r="N400" s="236"/>
    </row>
    <row r="401" spans="1:14" x14ac:dyDescent="0.2">
      <c r="A401" s="237" t="str">
        <f>name!E$5</f>
        <v>Professional occupations</v>
      </c>
      <c r="B401" s="302">
        <v>0.10933144501043596</v>
      </c>
      <c r="C401" s="302">
        <v>1.8603104860746313</v>
      </c>
      <c r="D401" s="302">
        <f t="shared" ref="D401:D408" si="154">SUM(B401:C401)</f>
        <v>1.9696419310850672</v>
      </c>
      <c r="E401" s="303"/>
      <c r="F401" s="302">
        <v>0.139254804554727</v>
      </c>
      <c r="G401" s="302">
        <v>1.9840160221977472</v>
      </c>
      <c r="H401" s="302">
        <f t="shared" ref="H401:H408" si="155">SUM(F401:G401)</f>
        <v>2.1232708267524742</v>
      </c>
      <c r="I401" s="303"/>
      <c r="J401" s="302">
        <v>0.11322069666999145</v>
      </c>
      <c r="K401" s="302">
        <v>2.0365204710891738</v>
      </c>
      <c r="L401" s="302">
        <f t="shared" ref="L401:L408" si="156">SUM(J401:K401)</f>
        <v>2.1497411677591654</v>
      </c>
      <c r="M401" s="236"/>
      <c r="N401" s="236"/>
    </row>
    <row r="402" spans="1:14" x14ac:dyDescent="0.2">
      <c r="A402" s="237" t="str">
        <f>name!E$6</f>
        <v>Associate professional occupations</v>
      </c>
      <c r="B402" s="302">
        <v>0.11235540197968208</v>
      </c>
      <c r="C402" s="302">
        <v>0.8283188441845698</v>
      </c>
      <c r="D402" s="302">
        <f t="shared" si="154"/>
        <v>0.94067424616425188</v>
      </c>
      <c r="E402" s="303"/>
      <c r="F402" s="302">
        <v>0.11493025875694152</v>
      </c>
      <c r="G402" s="302">
        <v>0.84299130012642676</v>
      </c>
      <c r="H402" s="302">
        <f t="shared" si="155"/>
        <v>0.95792155888336827</v>
      </c>
      <c r="I402" s="303"/>
      <c r="J402" s="302">
        <v>9.0478829284166229E-2</v>
      </c>
      <c r="K402" s="302">
        <v>0.70448212824288403</v>
      </c>
      <c r="L402" s="302">
        <f t="shared" si="156"/>
        <v>0.7949609575270502</v>
      </c>
      <c r="M402" s="236"/>
      <c r="N402" s="236"/>
    </row>
    <row r="403" spans="1:14" x14ac:dyDescent="0.2">
      <c r="A403" s="237" t="str">
        <f>name!E$7</f>
        <v>Administrative and secretarial occupations</v>
      </c>
      <c r="B403" s="302">
        <v>0.29797067150058487</v>
      </c>
      <c r="C403" s="302">
        <v>0.29071956149209932</v>
      </c>
      <c r="D403" s="302">
        <f t="shared" si="154"/>
        <v>0.58869023299268419</v>
      </c>
      <c r="E403" s="303"/>
      <c r="F403" s="302">
        <v>0.28405205652373672</v>
      </c>
      <c r="G403" s="302">
        <v>0.27949301120454562</v>
      </c>
      <c r="H403" s="302">
        <f t="shared" si="155"/>
        <v>0.56354506772828228</v>
      </c>
      <c r="I403" s="303"/>
      <c r="J403" s="302">
        <v>0.17381097909342666</v>
      </c>
      <c r="K403" s="302">
        <v>0.2850277500164729</v>
      </c>
      <c r="L403" s="302">
        <f t="shared" si="156"/>
        <v>0.45883872910989953</v>
      </c>
      <c r="M403" s="236"/>
      <c r="N403" s="236"/>
    </row>
    <row r="404" spans="1:14" x14ac:dyDescent="0.2">
      <c r="A404" s="237" t="str">
        <f>name!E$8</f>
        <v>Skilled trades occupations</v>
      </c>
      <c r="B404" s="302">
        <v>5.661585343591756E-2</v>
      </c>
      <c r="C404" s="302">
        <v>2.9868948711220731</v>
      </c>
      <c r="D404" s="302">
        <f t="shared" si="154"/>
        <v>3.0435107245579904</v>
      </c>
      <c r="E404" s="303"/>
      <c r="F404" s="302">
        <v>6.6608721176343658E-2</v>
      </c>
      <c r="G404" s="302">
        <v>2.1465479226126032</v>
      </c>
      <c r="H404" s="302">
        <f t="shared" si="155"/>
        <v>2.2131566437889467</v>
      </c>
      <c r="I404" s="303"/>
      <c r="J404" s="302">
        <v>0.12792332143557544</v>
      </c>
      <c r="K404" s="302">
        <v>1.7973717403229252</v>
      </c>
      <c r="L404" s="302">
        <f t="shared" si="156"/>
        <v>1.9252950617585007</v>
      </c>
      <c r="M404" s="236"/>
      <c r="N404" s="236"/>
    </row>
    <row r="405" spans="1:14" x14ac:dyDescent="0.2">
      <c r="A405" s="237" t="str">
        <f>name!E$9</f>
        <v>Caring, leisure and other service occupations</v>
      </c>
      <c r="B405" s="302">
        <v>3.4858396421443769E-2</v>
      </c>
      <c r="C405" s="302">
        <v>5.5445354402228884E-2</v>
      </c>
      <c r="D405" s="302">
        <f t="shared" si="154"/>
        <v>9.0303750823672646E-2</v>
      </c>
      <c r="E405" s="303"/>
      <c r="F405" s="302">
        <v>4.8886762368659922E-2</v>
      </c>
      <c r="G405" s="302">
        <v>4.499945367755262E-2</v>
      </c>
      <c r="H405" s="302">
        <f t="shared" si="155"/>
        <v>9.3886216046212542E-2</v>
      </c>
      <c r="I405" s="303"/>
      <c r="J405" s="302">
        <v>4.6175180643257603E-2</v>
      </c>
      <c r="K405" s="302">
        <v>7.9529571928025677E-2</v>
      </c>
      <c r="L405" s="302">
        <f t="shared" si="156"/>
        <v>0.12570475257128327</v>
      </c>
      <c r="M405" s="236"/>
      <c r="N405" s="236"/>
    </row>
    <row r="406" spans="1:14" x14ac:dyDescent="0.2">
      <c r="A406" s="237" t="str">
        <f>name!E$10</f>
        <v>Sales and customer service occupations</v>
      </c>
      <c r="B406" s="302">
        <v>6.5943176494349678E-2</v>
      </c>
      <c r="C406" s="302">
        <v>0.2000720394373251</v>
      </c>
      <c r="D406" s="302">
        <f t="shared" si="154"/>
        <v>0.26601521593167476</v>
      </c>
      <c r="E406" s="303"/>
      <c r="F406" s="302">
        <v>6.6832267304166484E-2</v>
      </c>
      <c r="G406" s="302">
        <v>0.16264923538824455</v>
      </c>
      <c r="H406" s="302">
        <f t="shared" si="155"/>
        <v>0.22948150269241102</v>
      </c>
      <c r="I406" s="303"/>
      <c r="J406" s="302">
        <v>6.3837404293787897E-2</v>
      </c>
      <c r="K406" s="302">
        <v>0.17579958310648749</v>
      </c>
      <c r="L406" s="302">
        <f t="shared" si="156"/>
        <v>0.23963698740027539</v>
      </c>
      <c r="M406" s="236"/>
      <c r="N406" s="236"/>
    </row>
    <row r="407" spans="1:14" x14ac:dyDescent="0.2">
      <c r="A407" s="237" t="str">
        <f>name!E$11</f>
        <v>Process, plant and machine operatives</v>
      </c>
      <c r="B407" s="302">
        <v>0.12023467294257513</v>
      </c>
      <c r="C407" s="302">
        <v>1.355765717397506</v>
      </c>
      <c r="D407" s="302">
        <f t="shared" si="154"/>
        <v>1.4760003903400811</v>
      </c>
      <c r="E407" s="303"/>
      <c r="F407" s="302">
        <v>0.10962243165924741</v>
      </c>
      <c r="G407" s="302">
        <v>0.97952114197645224</v>
      </c>
      <c r="H407" s="302">
        <f t="shared" si="155"/>
        <v>1.0891435736356996</v>
      </c>
      <c r="I407" s="303"/>
      <c r="J407" s="302">
        <v>0.15599501761314857</v>
      </c>
      <c r="K407" s="302">
        <v>1.0356968216743325</v>
      </c>
      <c r="L407" s="302">
        <f t="shared" si="156"/>
        <v>1.1916918392874811</v>
      </c>
      <c r="M407" s="236"/>
      <c r="N407" s="236"/>
    </row>
    <row r="408" spans="1:14" x14ac:dyDescent="0.2">
      <c r="A408" s="237" t="str">
        <f>name!E$12</f>
        <v>Elementary occupations</v>
      </c>
      <c r="B408" s="302">
        <v>6.3491722564079506E-2</v>
      </c>
      <c r="C408" s="302">
        <v>0.28224590402444977</v>
      </c>
      <c r="D408" s="302">
        <f t="shared" si="154"/>
        <v>0.34573762658852925</v>
      </c>
      <c r="E408" s="303"/>
      <c r="F408" s="302">
        <v>5.958491924851822E-2</v>
      </c>
      <c r="G408" s="302">
        <v>0.19474946451690578</v>
      </c>
      <c r="H408" s="302">
        <f t="shared" si="155"/>
        <v>0.254334383765424</v>
      </c>
      <c r="I408" s="303"/>
      <c r="J408" s="302">
        <v>4.1067238165236587E-2</v>
      </c>
      <c r="K408" s="302">
        <v>0.13598458306455125</v>
      </c>
      <c r="L408" s="302">
        <f t="shared" si="156"/>
        <v>0.17705182122978783</v>
      </c>
      <c r="M408" s="236"/>
      <c r="N408" s="236"/>
    </row>
    <row r="409" spans="1:14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2">
      <c r="A410" s="244" t="s">
        <v>32</v>
      </c>
      <c r="B410" s="311">
        <f>SUM(B400:B408)</f>
        <v>0.97299999999546882</v>
      </c>
      <c r="C410" s="311">
        <f t="shared" ref="C410:D410" si="157">SUM(C400:C408)</f>
        <v>9.0949999999962561</v>
      </c>
      <c r="D410" s="311">
        <f t="shared" si="157"/>
        <v>10.067999999991727</v>
      </c>
      <c r="E410" s="311"/>
      <c r="F410" s="311">
        <f t="shared" ref="F410:H410" si="158">SUM(F400:F408)</f>
        <v>1.1049999999998932</v>
      </c>
      <c r="G410" s="311">
        <f t="shared" si="158"/>
        <v>7.8040000000098066</v>
      </c>
      <c r="H410" s="311">
        <f t="shared" si="158"/>
        <v>8.9090000000096996</v>
      </c>
      <c r="I410" s="311"/>
      <c r="J410" s="311">
        <f t="shared" ref="J410:L410" si="159">SUM(J400:J408)</f>
        <v>0.99399999999595556</v>
      </c>
      <c r="K410" s="311">
        <f t="shared" si="159"/>
        <v>7.3800000000312558</v>
      </c>
      <c r="L410" s="311">
        <f t="shared" si="159"/>
        <v>8.3740000000272126</v>
      </c>
      <c r="M410" s="236"/>
      <c r="N410" s="236"/>
    </row>
    <row r="411" spans="1:14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2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2">
      <c r="A414" s="241" t="str">
        <f>name!A27</f>
        <v>Electricity, gas, etc</v>
      </c>
      <c r="B414" s="372">
        <f>B$6</f>
        <v>2015</v>
      </c>
      <c r="C414" s="372"/>
      <c r="D414" s="372"/>
      <c r="E414" s="253"/>
      <c r="F414" s="372">
        <f>F397</f>
        <v>2020</v>
      </c>
      <c r="G414" s="372"/>
      <c r="H414" s="372"/>
      <c r="I414" s="253"/>
      <c r="J414" s="372">
        <f>J397</f>
        <v>2035</v>
      </c>
      <c r="K414" s="372"/>
      <c r="L414" s="372"/>
      <c r="M414" s="236"/>
      <c r="N414" s="236"/>
    </row>
    <row r="415" spans="1:14" x14ac:dyDescent="0.2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2">
      <c r="A417" s="237" t="str">
        <f>name!E$4</f>
        <v>Managers, directors and senior officials</v>
      </c>
      <c r="B417" s="302">
        <v>0.11585816489950844</v>
      </c>
      <c r="C417" s="302">
        <v>0.36897710247371635</v>
      </c>
      <c r="D417" s="302">
        <f>SUM(B417:C417)</f>
        <v>0.4848352673732248</v>
      </c>
      <c r="E417" s="303"/>
      <c r="F417" s="302">
        <v>0.30079339088410795</v>
      </c>
      <c r="G417" s="302">
        <v>0.77600020792872759</v>
      </c>
      <c r="H417" s="302">
        <f>SUM(F417:G417)</f>
        <v>1.0767935988128357</v>
      </c>
      <c r="I417" s="303"/>
      <c r="J417" s="302">
        <v>0.2897062934301472</v>
      </c>
      <c r="K417" s="302">
        <v>0.72484346599539029</v>
      </c>
      <c r="L417" s="302">
        <f>SUM(J417:K417)</f>
        <v>1.0145497594255375</v>
      </c>
      <c r="M417" s="236"/>
      <c r="N417" s="236"/>
    </row>
    <row r="418" spans="1:14" x14ac:dyDescent="0.2">
      <c r="A418" s="237" t="str">
        <f>name!E$5</f>
        <v>Professional occupations</v>
      </c>
      <c r="B418" s="302">
        <v>0.21883724275322691</v>
      </c>
      <c r="C418" s="302">
        <v>1.0532726231826022</v>
      </c>
      <c r="D418" s="302">
        <f t="shared" ref="D418:D425" si="160">SUM(B418:C418)</f>
        <v>1.2721098659358292</v>
      </c>
      <c r="E418" s="303"/>
      <c r="F418" s="302">
        <v>0.61519619895458999</v>
      </c>
      <c r="G418" s="302">
        <v>2.6116311323200279</v>
      </c>
      <c r="H418" s="302">
        <f t="shared" ref="H418:H425" si="161">SUM(F418:G418)</f>
        <v>3.2268273312746176</v>
      </c>
      <c r="I418" s="303"/>
      <c r="J418" s="302">
        <v>0.67543058512983412</v>
      </c>
      <c r="K418" s="302">
        <v>2.5126211961141669</v>
      </c>
      <c r="L418" s="302">
        <f t="shared" ref="L418:L425" si="162">SUM(J418:K418)</f>
        <v>3.1880517812440008</v>
      </c>
      <c r="M418" s="236"/>
      <c r="N418" s="236"/>
    </row>
    <row r="419" spans="1:14" x14ac:dyDescent="0.2">
      <c r="A419" s="237" t="str">
        <f>name!E$6</f>
        <v>Associate professional occupations</v>
      </c>
      <c r="B419" s="302">
        <v>0.21358161715093882</v>
      </c>
      <c r="C419" s="302">
        <v>0.6473671370573556</v>
      </c>
      <c r="D419" s="302">
        <f t="shared" si="160"/>
        <v>0.86094875420829442</v>
      </c>
      <c r="E419" s="303"/>
      <c r="F419" s="302">
        <v>0.53121659568688095</v>
      </c>
      <c r="G419" s="302">
        <v>1.6006899184766117</v>
      </c>
      <c r="H419" s="302">
        <f t="shared" si="161"/>
        <v>2.1319065141634925</v>
      </c>
      <c r="I419" s="303"/>
      <c r="J419" s="302">
        <v>0.47463706296995678</v>
      </c>
      <c r="K419" s="302">
        <v>1.221328702229691</v>
      </c>
      <c r="L419" s="302">
        <f t="shared" si="162"/>
        <v>1.6959657651996478</v>
      </c>
      <c r="M419" s="236"/>
      <c r="N419" s="236"/>
    </row>
    <row r="420" spans="1:14" x14ac:dyDescent="0.2">
      <c r="A420" s="237" t="str">
        <f>name!E$7</f>
        <v>Administrative and secretarial occupations</v>
      </c>
      <c r="B420" s="302">
        <v>0.85064190311426602</v>
      </c>
      <c r="C420" s="302">
        <v>0.54954510462671169</v>
      </c>
      <c r="D420" s="302">
        <f t="shared" si="160"/>
        <v>1.4001870077409777</v>
      </c>
      <c r="E420" s="303"/>
      <c r="F420" s="302">
        <v>1.6059592273562293</v>
      </c>
      <c r="G420" s="302">
        <v>1.3442605860963239</v>
      </c>
      <c r="H420" s="302">
        <f t="shared" si="161"/>
        <v>2.950219813452553</v>
      </c>
      <c r="I420" s="303"/>
      <c r="J420" s="302">
        <v>1.080007597593182</v>
      </c>
      <c r="K420" s="302">
        <v>1.1602173080338158</v>
      </c>
      <c r="L420" s="302">
        <f t="shared" si="162"/>
        <v>2.2402249056269978</v>
      </c>
      <c r="M420" s="236"/>
      <c r="N420" s="236"/>
    </row>
    <row r="421" spans="1:14" x14ac:dyDescent="0.2">
      <c r="A421" s="237" t="str">
        <f>name!E$8</f>
        <v>Skilled trades occupations</v>
      </c>
      <c r="B421" s="302">
        <v>5.3014150713670057E-2</v>
      </c>
      <c r="C421" s="302">
        <v>0.86083990138474686</v>
      </c>
      <c r="D421" s="302">
        <f t="shared" si="160"/>
        <v>0.91385405209841697</v>
      </c>
      <c r="E421" s="303"/>
      <c r="F421" s="302">
        <v>0.12412793883872165</v>
      </c>
      <c r="G421" s="302">
        <v>1.3870950160931341</v>
      </c>
      <c r="H421" s="302">
        <f t="shared" si="161"/>
        <v>1.5112229549318559</v>
      </c>
      <c r="I421" s="303"/>
      <c r="J421" s="302">
        <v>0.30546918673919299</v>
      </c>
      <c r="K421" s="302">
        <v>0.84843598010598542</v>
      </c>
      <c r="L421" s="302">
        <f t="shared" si="162"/>
        <v>1.1539051668451785</v>
      </c>
      <c r="M421" s="236"/>
      <c r="N421" s="236"/>
    </row>
    <row r="422" spans="1:14" x14ac:dyDescent="0.2">
      <c r="A422" s="237" t="str">
        <f>name!E$9</f>
        <v>Caring, leisure and other service occupations</v>
      </c>
      <c r="B422" s="302">
        <v>3.8512200182576235E-2</v>
      </c>
      <c r="C422" s="302">
        <v>0.13998952188903821</v>
      </c>
      <c r="D422" s="302">
        <f t="shared" si="160"/>
        <v>0.17850172207161444</v>
      </c>
      <c r="E422" s="303"/>
      <c r="F422" s="302">
        <v>7.4631313588432099E-2</v>
      </c>
      <c r="G422" s="302">
        <v>0.32892985798034924</v>
      </c>
      <c r="H422" s="302">
        <f t="shared" si="161"/>
        <v>0.40356117156878135</v>
      </c>
      <c r="I422" s="303"/>
      <c r="J422" s="302">
        <v>5.7707527374644296E-2</v>
      </c>
      <c r="K422" s="302">
        <v>0.36527062235953572</v>
      </c>
      <c r="L422" s="302">
        <f t="shared" si="162"/>
        <v>0.42297814973418002</v>
      </c>
      <c r="M422" s="236"/>
      <c r="N422" s="236"/>
    </row>
    <row r="423" spans="1:14" x14ac:dyDescent="0.2">
      <c r="A423" s="237" t="str">
        <f>name!E$10</f>
        <v>Sales and customer service occupations</v>
      </c>
      <c r="B423" s="302">
        <v>0.48804411959785016</v>
      </c>
      <c r="C423" s="302">
        <v>0.81574421581129186</v>
      </c>
      <c r="D423" s="302">
        <f t="shared" si="160"/>
        <v>1.303788335409142</v>
      </c>
      <c r="E423" s="303"/>
      <c r="F423" s="302">
        <v>1.1262459740691684</v>
      </c>
      <c r="G423" s="302">
        <v>1.8537465990472815</v>
      </c>
      <c r="H423" s="302">
        <f t="shared" si="161"/>
        <v>2.9799925731164496</v>
      </c>
      <c r="I423" s="303"/>
      <c r="J423" s="302">
        <v>1.2610787321477099</v>
      </c>
      <c r="K423" s="302">
        <v>2.0696210082188586</v>
      </c>
      <c r="L423" s="302">
        <f t="shared" si="162"/>
        <v>3.3306997403665686</v>
      </c>
      <c r="M423" s="236"/>
      <c r="N423" s="236"/>
    </row>
    <row r="424" spans="1:14" x14ac:dyDescent="0.2">
      <c r="A424" s="237" t="str">
        <f>name!E$11</f>
        <v>Process, plant and machine operatives</v>
      </c>
      <c r="B424" s="302">
        <v>1.03544567628859E-2</v>
      </c>
      <c r="C424" s="302">
        <v>0.43179578097692489</v>
      </c>
      <c r="D424" s="302">
        <f t="shared" si="160"/>
        <v>0.44215023773981077</v>
      </c>
      <c r="E424" s="303"/>
      <c r="F424" s="302">
        <v>1.8187587117722063E-2</v>
      </c>
      <c r="G424" s="302">
        <v>0.72230130083644761</v>
      </c>
      <c r="H424" s="302">
        <f t="shared" si="161"/>
        <v>0.74048888795416967</v>
      </c>
      <c r="I424" s="303"/>
      <c r="J424" s="302">
        <v>2.8841864161094084E-2</v>
      </c>
      <c r="K424" s="302">
        <v>0.79156215492024629</v>
      </c>
      <c r="L424" s="302">
        <f t="shared" si="162"/>
        <v>0.82040401908134042</v>
      </c>
      <c r="M424" s="236"/>
      <c r="N424" s="236"/>
    </row>
    <row r="425" spans="1:14" x14ac:dyDescent="0.2">
      <c r="A425" s="237" t="str">
        <f>name!E$12</f>
        <v>Elementary occupations</v>
      </c>
      <c r="B425" s="302">
        <v>4.6156144804977088E-2</v>
      </c>
      <c r="C425" s="302">
        <v>0.13146861257710835</v>
      </c>
      <c r="D425" s="302">
        <f t="shared" si="160"/>
        <v>0.17762475738208544</v>
      </c>
      <c r="E425" s="303"/>
      <c r="F425" s="302">
        <v>9.1641773520398748E-2</v>
      </c>
      <c r="G425" s="302">
        <v>0.23934538115959508</v>
      </c>
      <c r="H425" s="302">
        <f t="shared" si="161"/>
        <v>0.33098715467999384</v>
      </c>
      <c r="I425" s="303"/>
      <c r="J425" s="302">
        <v>4.9121150386853711E-2</v>
      </c>
      <c r="K425" s="302">
        <v>0.15209956198731914</v>
      </c>
      <c r="L425" s="302">
        <f t="shared" si="162"/>
        <v>0.20122071237417286</v>
      </c>
      <c r="M425" s="236"/>
      <c r="N425" s="236"/>
    </row>
    <row r="426" spans="1:14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2">
      <c r="A427" s="244" t="s">
        <v>32</v>
      </c>
      <c r="B427" s="311">
        <f>SUM(B417:B425)</f>
        <v>2.0349999999798998</v>
      </c>
      <c r="C427" s="311">
        <f t="shared" ref="C427:D427" si="163">SUM(C417:C425)</f>
        <v>4.9989999999794952</v>
      </c>
      <c r="D427" s="311">
        <f t="shared" si="163"/>
        <v>7.0339999999593967</v>
      </c>
      <c r="E427" s="311"/>
      <c r="F427" s="311">
        <f t="shared" ref="F427:H427" si="164">SUM(F417:F425)</f>
        <v>4.4880000000162505</v>
      </c>
      <c r="G427" s="311">
        <f t="shared" si="164"/>
        <v>10.863999999938498</v>
      </c>
      <c r="H427" s="311">
        <f t="shared" si="164"/>
        <v>15.351999999954751</v>
      </c>
      <c r="I427" s="311"/>
      <c r="J427" s="311">
        <f t="shared" ref="J427:L427" si="165">SUM(J417:J425)</f>
        <v>4.2219999999326152</v>
      </c>
      <c r="K427" s="311">
        <f t="shared" si="165"/>
        <v>9.8459999999650094</v>
      </c>
      <c r="L427" s="311">
        <f t="shared" si="165"/>
        <v>14.067999999897625</v>
      </c>
      <c r="M427" s="236"/>
      <c r="N427" s="236"/>
    </row>
    <row r="428" spans="1:14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2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2">
      <c r="A431" s="241" t="str">
        <f>name!A28</f>
        <v>Water</v>
      </c>
      <c r="B431" s="372">
        <f>B$6</f>
        <v>2015</v>
      </c>
      <c r="C431" s="372"/>
      <c r="D431" s="372"/>
      <c r="E431" s="253"/>
      <c r="F431" s="372">
        <f>F414</f>
        <v>2020</v>
      </c>
      <c r="G431" s="372"/>
      <c r="H431" s="372"/>
      <c r="I431" s="253"/>
      <c r="J431" s="372">
        <f>J414</f>
        <v>2035</v>
      </c>
      <c r="K431" s="372"/>
      <c r="L431" s="372"/>
      <c r="M431" s="236"/>
      <c r="N431" s="236"/>
    </row>
    <row r="432" spans="1:14" x14ac:dyDescent="0.2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2">
      <c r="A434" s="237" t="str">
        <f>name!E$4</f>
        <v>Managers, directors and senior officials</v>
      </c>
      <c r="B434" s="302">
        <v>6.9149173202986844E-2</v>
      </c>
      <c r="C434" s="302">
        <v>0.31736713738200467</v>
      </c>
      <c r="D434" s="302">
        <f>SUM(B434:C434)</f>
        <v>0.38651631058499153</v>
      </c>
      <c r="E434" s="303"/>
      <c r="F434" s="302">
        <v>6.4206147944083705E-2</v>
      </c>
      <c r="G434" s="302">
        <v>0.52004663230187209</v>
      </c>
      <c r="H434" s="302">
        <f>SUM(F434:G434)</f>
        <v>0.58425278024595584</v>
      </c>
      <c r="I434" s="303"/>
      <c r="J434" s="302">
        <v>7.9220614919005089E-2</v>
      </c>
      <c r="K434" s="302">
        <v>0.56239747860209355</v>
      </c>
      <c r="L434" s="302">
        <f>SUM(J434:K434)</f>
        <v>0.64161809352109866</v>
      </c>
      <c r="M434" s="236"/>
      <c r="N434" s="236"/>
    </row>
    <row r="435" spans="1:14" x14ac:dyDescent="0.2">
      <c r="A435" s="237" t="str">
        <f>name!E$5</f>
        <v>Professional occupations</v>
      </c>
      <c r="B435" s="302">
        <v>0.13218920410734397</v>
      </c>
      <c r="C435" s="302">
        <v>0.59844410485631538</v>
      </c>
      <c r="D435" s="302">
        <f t="shared" ref="D435:D442" si="166">SUM(B435:C435)</f>
        <v>0.73063330896365941</v>
      </c>
      <c r="E435" s="303"/>
      <c r="F435" s="302">
        <v>0.18574492665302672</v>
      </c>
      <c r="G435" s="302">
        <v>1.0414255648221911</v>
      </c>
      <c r="H435" s="302">
        <f t="shared" ref="H435:H442" si="167">SUM(F435:G435)</f>
        <v>1.2271704914752177</v>
      </c>
      <c r="I435" s="303"/>
      <c r="J435" s="302">
        <v>0.2864462208821843</v>
      </c>
      <c r="K435" s="302">
        <v>1.2797039145823739</v>
      </c>
      <c r="L435" s="302">
        <f t="shared" ref="L435:L442" si="168">SUM(J435:K435)</f>
        <v>1.5661501354645582</v>
      </c>
      <c r="M435" s="236"/>
      <c r="N435" s="236"/>
    </row>
    <row r="436" spans="1:14" x14ac:dyDescent="0.2">
      <c r="A436" s="237" t="str">
        <f>name!E$6</f>
        <v>Associate professional occupations</v>
      </c>
      <c r="B436" s="302">
        <v>0.21905019561731143</v>
      </c>
      <c r="C436" s="302">
        <v>0.37540008856205531</v>
      </c>
      <c r="D436" s="302">
        <f t="shared" si="166"/>
        <v>0.59445028417936674</v>
      </c>
      <c r="E436" s="303"/>
      <c r="F436" s="302">
        <v>0.28485653570664049</v>
      </c>
      <c r="G436" s="302">
        <v>0.68965667965688926</v>
      </c>
      <c r="H436" s="302">
        <f t="shared" si="167"/>
        <v>0.97451321536352975</v>
      </c>
      <c r="I436" s="303"/>
      <c r="J436" s="302">
        <v>0.363811988044075</v>
      </c>
      <c r="K436" s="302">
        <v>0.67149563845400773</v>
      </c>
      <c r="L436" s="302">
        <f t="shared" si="168"/>
        <v>1.0353076264980827</v>
      </c>
      <c r="M436" s="236"/>
      <c r="N436" s="236"/>
    </row>
    <row r="437" spans="1:14" x14ac:dyDescent="0.2">
      <c r="A437" s="237" t="str">
        <f>name!E$7</f>
        <v>Administrative and secretarial occupations</v>
      </c>
      <c r="B437" s="302">
        <v>0.35166403444128064</v>
      </c>
      <c r="C437" s="302">
        <v>0.216419031692135</v>
      </c>
      <c r="D437" s="302">
        <f t="shared" si="166"/>
        <v>0.56808306613341564</v>
      </c>
      <c r="E437" s="303"/>
      <c r="F437" s="302">
        <v>0.43323117238685205</v>
      </c>
      <c r="G437" s="302">
        <v>0.36682785249290284</v>
      </c>
      <c r="H437" s="302">
        <f t="shared" si="167"/>
        <v>0.80005902487975489</v>
      </c>
      <c r="I437" s="303"/>
      <c r="J437" s="302">
        <v>0.3978158591979275</v>
      </c>
      <c r="K437" s="302">
        <v>0.47821777362882795</v>
      </c>
      <c r="L437" s="302">
        <f t="shared" si="168"/>
        <v>0.8760336328267555</v>
      </c>
      <c r="M437" s="236"/>
      <c r="N437" s="236"/>
    </row>
    <row r="438" spans="1:14" x14ac:dyDescent="0.2">
      <c r="A438" s="237" t="str">
        <f>name!E$8</f>
        <v>Skilled trades occupations</v>
      </c>
      <c r="B438" s="302">
        <v>5.8806353405573358E-2</v>
      </c>
      <c r="C438" s="302">
        <v>0.56140924784243806</v>
      </c>
      <c r="D438" s="302">
        <f t="shared" si="166"/>
        <v>0.62021560124801145</v>
      </c>
      <c r="E438" s="303"/>
      <c r="F438" s="302">
        <v>3.1396234834938461E-2</v>
      </c>
      <c r="G438" s="302">
        <v>0.64195394090584679</v>
      </c>
      <c r="H438" s="302">
        <f t="shared" si="167"/>
        <v>0.67335017574078526</v>
      </c>
      <c r="I438" s="303"/>
      <c r="J438" s="302">
        <v>9.0181784674701032E-2</v>
      </c>
      <c r="K438" s="302">
        <v>0.58809673649954985</v>
      </c>
      <c r="L438" s="302">
        <f t="shared" si="168"/>
        <v>0.67827852117425091</v>
      </c>
      <c r="M438" s="236"/>
      <c r="N438" s="236"/>
    </row>
    <row r="439" spans="1:14" x14ac:dyDescent="0.2">
      <c r="A439" s="237" t="str">
        <f>name!E$9</f>
        <v>Caring, leisure and other service occupations</v>
      </c>
      <c r="B439" s="302">
        <v>4.4214119732987382E-2</v>
      </c>
      <c r="C439" s="302">
        <v>1.1147531687912188E-2</v>
      </c>
      <c r="D439" s="302">
        <f t="shared" si="166"/>
        <v>5.536165142089957E-2</v>
      </c>
      <c r="E439" s="303"/>
      <c r="F439" s="302">
        <v>2.0397169165824423E-2</v>
      </c>
      <c r="G439" s="302">
        <v>1.8526059494562902E-2</v>
      </c>
      <c r="H439" s="302">
        <f t="shared" si="167"/>
        <v>3.8923228660387325E-2</v>
      </c>
      <c r="I439" s="303"/>
      <c r="J439" s="302">
        <v>2.1131786869751583E-2</v>
      </c>
      <c r="K439" s="302">
        <v>2.3180830783989838E-2</v>
      </c>
      <c r="L439" s="302">
        <f t="shared" si="168"/>
        <v>4.4312617653741421E-2</v>
      </c>
      <c r="M439" s="236"/>
      <c r="N439" s="236"/>
    </row>
    <row r="440" spans="1:14" x14ac:dyDescent="0.2">
      <c r="A440" s="237" t="str">
        <f>name!E$10</f>
        <v>Sales and customer service occupations</v>
      </c>
      <c r="B440" s="302">
        <v>0.1906773627334554</v>
      </c>
      <c r="C440" s="302">
        <v>0.19175335921092812</v>
      </c>
      <c r="D440" s="302">
        <f t="shared" si="166"/>
        <v>0.38243072194438354</v>
      </c>
      <c r="E440" s="303"/>
      <c r="F440" s="302">
        <v>0.30010850222847701</v>
      </c>
      <c r="G440" s="302">
        <v>0.31523611984316041</v>
      </c>
      <c r="H440" s="302">
        <f t="shared" si="167"/>
        <v>0.61534462207163743</v>
      </c>
      <c r="I440" s="303"/>
      <c r="J440" s="302">
        <v>0.4119991909379887</v>
      </c>
      <c r="K440" s="302">
        <v>0.4310336639185039</v>
      </c>
      <c r="L440" s="302">
        <f t="shared" si="168"/>
        <v>0.8430328548564926</v>
      </c>
      <c r="M440" s="236"/>
      <c r="N440" s="236"/>
    </row>
    <row r="441" spans="1:14" x14ac:dyDescent="0.2">
      <c r="A441" s="237" t="str">
        <f>name!E$11</f>
        <v>Process, plant and machine operatives</v>
      </c>
      <c r="B441" s="302">
        <v>1.3561114916941701E-2</v>
      </c>
      <c r="C441" s="302">
        <v>0.80186086653542987</v>
      </c>
      <c r="D441" s="302">
        <f t="shared" si="166"/>
        <v>0.81542198145237155</v>
      </c>
      <c r="E441" s="303"/>
      <c r="F441" s="302">
        <v>9.5718671641735111E-3</v>
      </c>
      <c r="G441" s="302">
        <v>0.98674524361154048</v>
      </c>
      <c r="H441" s="302">
        <f t="shared" si="167"/>
        <v>0.99631711077571394</v>
      </c>
      <c r="I441" s="303"/>
      <c r="J441" s="302">
        <v>9.7143269364412289E-3</v>
      </c>
      <c r="K441" s="302">
        <v>1.1837657449823633</v>
      </c>
      <c r="L441" s="302">
        <f t="shared" si="168"/>
        <v>1.1934800719188046</v>
      </c>
      <c r="M441" s="236"/>
      <c r="N441" s="236"/>
    </row>
    <row r="442" spans="1:14" x14ac:dyDescent="0.2">
      <c r="A442" s="237" t="str">
        <f>name!E$12</f>
        <v>Elementary occupations</v>
      </c>
      <c r="B442" s="302">
        <v>5.3688441839435982E-2</v>
      </c>
      <c r="C442" s="302">
        <v>0.17519863221836576</v>
      </c>
      <c r="D442" s="302">
        <f t="shared" si="166"/>
        <v>0.22888707405780173</v>
      </c>
      <c r="E442" s="303"/>
      <c r="F442" s="302">
        <v>3.3487443919246219E-2</v>
      </c>
      <c r="G442" s="302">
        <v>0.1885819068610412</v>
      </c>
      <c r="H442" s="302">
        <f t="shared" si="167"/>
        <v>0.22206935078028742</v>
      </c>
      <c r="I442" s="303"/>
      <c r="J442" s="302">
        <v>3.4678227526943398E-2</v>
      </c>
      <c r="K442" s="302">
        <v>0.16410821855288588</v>
      </c>
      <c r="L442" s="302">
        <f t="shared" si="168"/>
        <v>0.19878644607982926</v>
      </c>
      <c r="M442" s="236"/>
      <c r="N442" s="236"/>
    </row>
    <row r="443" spans="1:14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2">
      <c r="A444" s="244" t="s">
        <v>32</v>
      </c>
      <c r="B444" s="311">
        <f>SUM(B434:B442)</f>
        <v>1.1329999999973166</v>
      </c>
      <c r="C444" s="311">
        <f t="shared" ref="C444:D444" si="169">SUM(C434:C442)</f>
        <v>3.2489999999875838</v>
      </c>
      <c r="D444" s="311">
        <f t="shared" si="169"/>
        <v>4.3819999999849015</v>
      </c>
      <c r="E444" s="311"/>
      <c r="F444" s="311">
        <f t="shared" ref="F444:H444" si="170">SUM(F434:F442)</f>
        <v>1.3630000000032627</v>
      </c>
      <c r="G444" s="311">
        <f t="shared" si="170"/>
        <v>4.7689999999900072</v>
      </c>
      <c r="H444" s="311">
        <f t="shared" si="170"/>
        <v>6.1319999999932699</v>
      </c>
      <c r="I444" s="311"/>
      <c r="J444" s="311">
        <f t="shared" ref="J444:L444" si="171">SUM(J434:J442)</f>
        <v>1.694999999989018</v>
      </c>
      <c r="K444" s="311">
        <f t="shared" si="171"/>
        <v>5.382000000004596</v>
      </c>
      <c r="L444" s="311">
        <f t="shared" si="171"/>
        <v>7.0769999999936131</v>
      </c>
      <c r="M444" s="236"/>
      <c r="N444" s="236"/>
    </row>
    <row r="445" spans="1:14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2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2">
      <c r="A448" s="241" t="str">
        <f>name!A29</f>
        <v>Sewerage</v>
      </c>
      <c r="B448" s="372">
        <f>B$6</f>
        <v>2015</v>
      </c>
      <c r="C448" s="372"/>
      <c r="D448" s="372"/>
      <c r="E448" s="253"/>
      <c r="F448" s="372">
        <f>F431</f>
        <v>2020</v>
      </c>
      <c r="G448" s="372"/>
      <c r="H448" s="372"/>
      <c r="I448" s="253"/>
      <c r="J448" s="372">
        <f>J431</f>
        <v>2035</v>
      </c>
      <c r="K448" s="372"/>
      <c r="L448" s="372"/>
      <c r="M448" s="236"/>
      <c r="N448" s="236"/>
    </row>
    <row r="449" spans="1:14" x14ac:dyDescent="0.2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2">
      <c r="A451" s="237" t="str">
        <f>name!E$4</f>
        <v>Managers, directors and senior officials</v>
      </c>
      <c r="B451" s="302">
        <v>2.7966137107842352E-2</v>
      </c>
      <c r="C451" s="302">
        <v>0.19869983952751477</v>
      </c>
      <c r="D451" s="302">
        <f>SUM(B451:C451)</f>
        <v>0.22666597663535712</v>
      </c>
      <c r="E451" s="303"/>
      <c r="F451" s="302">
        <v>1.4453857869823356E-2</v>
      </c>
      <c r="G451" s="302">
        <v>0.23124763540095017</v>
      </c>
      <c r="H451" s="302">
        <f>SUM(F451:G451)</f>
        <v>0.24570149327077354</v>
      </c>
      <c r="I451" s="303"/>
      <c r="J451" s="302">
        <v>1.6630710444672184E-2</v>
      </c>
      <c r="K451" s="302">
        <v>0.25133834589325837</v>
      </c>
      <c r="L451" s="302">
        <f>SUM(J451:K451)</f>
        <v>0.26796905633793056</v>
      </c>
      <c r="M451" s="236"/>
      <c r="N451" s="236"/>
    </row>
    <row r="452" spans="1:14" x14ac:dyDescent="0.2">
      <c r="A452" s="237" t="str">
        <f>name!E$5</f>
        <v>Professional occupations</v>
      </c>
      <c r="B452" s="302">
        <v>3.4020817357858259E-2</v>
      </c>
      <c r="C452" s="302">
        <v>0.17241507873801226</v>
      </c>
      <c r="D452" s="302">
        <f t="shared" ref="D452:D459" si="172">SUM(B452:C452)</f>
        <v>0.20643589609587051</v>
      </c>
      <c r="E452" s="303"/>
      <c r="F452" s="302">
        <v>2.5214273618498994E-2</v>
      </c>
      <c r="G452" s="302">
        <v>0.18878975489894345</v>
      </c>
      <c r="H452" s="302">
        <f t="shared" ref="H452:H459" si="173">SUM(F452:G452)</f>
        <v>0.21400402851744244</v>
      </c>
      <c r="I452" s="303"/>
      <c r="J452" s="302">
        <v>2.9726625780091952E-2</v>
      </c>
      <c r="K452" s="302">
        <v>0.22177778358272901</v>
      </c>
      <c r="L452" s="302">
        <f t="shared" ref="L452:L459" si="174">SUM(J452:K452)</f>
        <v>0.25150440936282098</v>
      </c>
      <c r="M452" s="236"/>
      <c r="N452" s="236"/>
    </row>
    <row r="453" spans="1:14" x14ac:dyDescent="0.2">
      <c r="A453" s="237" t="str">
        <f>name!E$6</f>
        <v>Associate professional occupations</v>
      </c>
      <c r="B453" s="302">
        <v>7.2389709294202395E-2</v>
      </c>
      <c r="C453" s="302">
        <v>0.14795091442952668</v>
      </c>
      <c r="D453" s="302">
        <f t="shared" si="172"/>
        <v>0.22034062372372909</v>
      </c>
      <c r="E453" s="303"/>
      <c r="F453" s="302">
        <v>6.2935359865449556E-2</v>
      </c>
      <c r="G453" s="302">
        <v>0.17389515640599676</v>
      </c>
      <c r="H453" s="302">
        <f t="shared" si="173"/>
        <v>0.2368305162714463</v>
      </c>
      <c r="I453" s="303"/>
      <c r="J453" s="302">
        <v>9.7011663310629812E-2</v>
      </c>
      <c r="K453" s="302">
        <v>0.16827435001334101</v>
      </c>
      <c r="L453" s="302">
        <f t="shared" si="174"/>
        <v>0.26528601332397084</v>
      </c>
      <c r="M453" s="236"/>
      <c r="N453" s="236"/>
    </row>
    <row r="454" spans="1:14" x14ac:dyDescent="0.2">
      <c r="A454" s="237" t="str">
        <f>name!E$7</f>
        <v>Administrative and secretarial occupations</v>
      </c>
      <c r="B454" s="302">
        <v>0.10160298059740289</v>
      </c>
      <c r="C454" s="302">
        <v>2.6102005443203926E-2</v>
      </c>
      <c r="D454" s="302">
        <f t="shared" si="172"/>
        <v>0.12770498604060682</v>
      </c>
      <c r="E454" s="303"/>
      <c r="F454" s="302">
        <v>8.4991524181798811E-2</v>
      </c>
      <c r="G454" s="302">
        <v>3.1131298239837776E-2</v>
      </c>
      <c r="H454" s="302">
        <f t="shared" si="173"/>
        <v>0.11612282242163659</v>
      </c>
      <c r="I454" s="303"/>
      <c r="J454" s="302">
        <v>9.4558689859709513E-2</v>
      </c>
      <c r="K454" s="302">
        <v>2.5816701682669238E-2</v>
      </c>
      <c r="L454" s="302">
        <f t="shared" si="174"/>
        <v>0.12037539154237875</v>
      </c>
      <c r="M454" s="236"/>
      <c r="N454" s="236"/>
    </row>
    <row r="455" spans="1:14" x14ac:dyDescent="0.2">
      <c r="A455" s="237" t="str">
        <f>name!E$8</f>
        <v>Skilled trades occupations</v>
      </c>
      <c r="B455" s="302">
        <v>2.7797518549562049E-2</v>
      </c>
      <c r="C455" s="302">
        <v>0.30697035086495067</v>
      </c>
      <c r="D455" s="302">
        <f t="shared" si="172"/>
        <v>0.3347678694145127</v>
      </c>
      <c r="E455" s="303"/>
      <c r="F455" s="302">
        <v>5.7086225104693395E-3</v>
      </c>
      <c r="G455" s="302">
        <v>0.10245835439851733</v>
      </c>
      <c r="H455" s="302">
        <f t="shared" si="173"/>
        <v>0.10816697690898668</v>
      </c>
      <c r="I455" s="303"/>
      <c r="J455" s="302">
        <v>1.1049566611521395E-2</v>
      </c>
      <c r="K455" s="302">
        <v>9.0650358768326625E-2</v>
      </c>
      <c r="L455" s="302">
        <f t="shared" si="174"/>
        <v>0.10169992537984802</v>
      </c>
      <c r="M455" s="236"/>
      <c r="N455" s="236"/>
    </row>
    <row r="456" spans="1:14" x14ac:dyDescent="0.2">
      <c r="A456" s="237" t="str">
        <f>name!E$9</f>
        <v>Caring, leisure and other service occupations</v>
      </c>
      <c r="B456" s="302">
        <v>3.2968546521117255E-2</v>
      </c>
      <c r="C456" s="302">
        <v>3.6160146875052597E-2</v>
      </c>
      <c r="D456" s="302">
        <f t="shared" si="172"/>
        <v>6.9128693396169852E-2</v>
      </c>
      <c r="E456" s="303"/>
      <c r="F456" s="302">
        <v>1.6372105467572007E-2</v>
      </c>
      <c r="G456" s="302">
        <v>4.8810656941817153E-2</v>
      </c>
      <c r="H456" s="302">
        <f t="shared" si="173"/>
        <v>6.5182762409389167E-2</v>
      </c>
      <c r="I456" s="303"/>
      <c r="J456" s="302">
        <v>1.9990270443275237E-2</v>
      </c>
      <c r="K456" s="302">
        <v>6.1532155895857699E-2</v>
      </c>
      <c r="L456" s="302">
        <f t="shared" si="174"/>
        <v>8.1522426339132939E-2</v>
      </c>
      <c r="M456" s="236"/>
      <c r="N456" s="236"/>
    </row>
    <row r="457" spans="1:14" x14ac:dyDescent="0.2">
      <c r="A457" s="237" t="str">
        <f>name!E$10</f>
        <v>Sales and customer service occupations</v>
      </c>
      <c r="B457" s="302">
        <v>2.0165841173126742E-2</v>
      </c>
      <c r="C457" s="302">
        <v>4.6527488909270685E-2</v>
      </c>
      <c r="D457" s="302">
        <f t="shared" si="172"/>
        <v>6.6693330082397431E-2</v>
      </c>
      <c r="E457" s="303"/>
      <c r="F457" s="302">
        <v>1.2184330059210628E-2</v>
      </c>
      <c r="G457" s="302">
        <v>3.8811379005003963E-2</v>
      </c>
      <c r="H457" s="302">
        <f t="shared" si="173"/>
        <v>5.0995709064214592E-2</v>
      </c>
      <c r="I457" s="303"/>
      <c r="J457" s="302">
        <v>1.4126564241949588E-2</v>
      </c>
      <c r="K457" s="302">
        <v>4.4952196576226927E-2</v>
      </c>
      <c r="L457" s="302">
        <f t="shared" si="174"/>
        <v>5.9078760818176514E-2</v>
      </c>
      <c r="M457" s="236"/>
      <c r="N457" s="236"/>
    </row>
    <row r="458" spans="1:14" x14ac:dyDescent="0.2">
      <c r="A458" s="237" t="str">
        <f>name!E$11</f>
        <v>Process, plant and machine operatives</v>
      </c>
      <c r="B458" s="302">
        <v>7.5915138855429196E-3</v>
      </c>
      <c r="C458" s="302">
        <v>0.52412834989327706</v>
      </c>
      <c r="D458" s="302">
        <f t="shared" si="172"/>
        <v>0.53171986377881997</v>
      </c>
      <c r="E458" s="303"/>
      <c r="F458" s="302">
        <v>4.6450245381443565E-3</v>
      </c>
      <c r="G458" s="302">
        <v>0.65960077298260833</v>
      </c>
      <c r="H458" s="302">
        <f t="shared" si="173"/>
        <v>0.66424579752075263</v>
      </c>
      <c r="I458" s="303"/>
      <c r="J458" s="302">
        <v>5.8032427752429108E-3</v>
      </c>
      <c r="K458" s="302">
        <v>0.8217642684340456</v>
      </c>
      <c r="L458" s="302">
        <f t="shared" si="174"/>
        <v>0.82756751120928851</v>
      </c>
      <c r="M458" s="236"/>
      <c r="N458" s="236"/>
    </row>
    <row r="459" spans="1:14" x14ac:dyDescent="0.2">
      <c r="A459" s="237" t="str">
        <f>name!E$12</f>
        <v>Elementary occupations</v>
      </c>
      <c r="B459" s="302">
        <v>7.4496935515660848E-2</v>
      </c>
      <c r="C459" s="302">
        <v>0.47904582532222822</v>
      </c>
      <c r="D459" s="302">
        <f t="shared" si="172"/>
        <v>0.55354276083788911</v>
      </c>
      <c r="E459" s="303"/>
      <c r="F459" s="302">
        <v>4.3494901889617056E-2</v>
      </c>
      <c r="G459" s="302">
        <v>0.65425499175032897</v>
      </c>
      <c r="H459" s="302">
        <f t="shared" si="173"/>
        <v>0.697749893639946</v>
      </c>
      <c r="I459" s="303"/>
      <c r="J459" s="302">
        <v>3.7102666532860741E-2</v>
      </c>
      <c r="K459" s="302">
        <v>0.71489383919894145</v>
      </c>
      <c r="L459" s="302">
        <f t="shared" si="174"/>
        <v>0.75199650573180221</v>
      </c>
      <c r="M459" s="236"/>
      <c r="N459" s="236"/>
    </row>
    <row r="460" spans="1:14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2">
      <c r="A461" s="244" t="s">
        <v>32</v>
      </c>
      <c r="B461" s="311">
        <f>SUM(B451:B459)</f>
        <v>0.39900000000231567</v>
      </c>
      <c r="C461" s="311">
        <f t="shared" ref="C461:D461" si="175">SUM(C451:C459)</f>
        <v>1.9380000000030371</v>
      </c>
      <c r="D461" s="311">
        <f t="shared" si="175"/>
        <v>2.3370000000053528</v>
      </c>
      <c r="E461" s="311"/>
      <c r="F461" s="311">
        <f t="shared" ref="F461:H461" si="176">SUM(F451:F459)</f>
        <v>0.27000000000058411</v>
      </c>
      <c r="G461" s="311">
        <f t="shared" si="176"/>
        <v>2.1290000000240039</v>
      </c>
      <c r="H461" s="311">
        <f t="shared" si="176"/>
        <v>2.3990000000245879</v>
      </c>
      <c r="I461" s="311"/>
      <c r="J461" s="311">
        <f t="shared" ref="J461:L461" si="177">SUM(J451:J459)</f>
        <v>0.32599999999995333</v>
      </c>
      <c r="K461" s="311">
        <f t="shared" si="177"/>
        <v>2.4010000000453959</v>
      </c>
      <c r="L461" s="311">
        <f t="shared" si="177"/>
        <v>2.7270000000453494</v>
      </c>
      <c r="M461" s="236"/>
      <c r="N461" s="236"/>
    </row>
    <row r="462" spans="1:14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2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2">
      <c r="A465" s="241" t="str">
        <f>name!A30</f>
        <v>Waste management</v>
      </c>
      <c r="B465" s="372">
        <f>B$6</f>
        <v>2015</v>
      </c>
      <c r="C465" s="372"/>
      <c r="D465" s="372"/>
      <c r="E465" s="253"/>
      <c r="F465" s="372">
        <f>F448</f>
        <v>2020</v>
      </c>
      <c r="G465" s="372"/>
      <c r="H465" s="372"/>
      <c r="I465" s="253"/>
      <c r="J465" s="372">
        <f>J448</f>
        <v>2035</v>
      </c>
      <c r="K465" s="372"/>
      <c r="L465" s="372"/>
      <c r="M465" s="236"/>
      <c r="N465" s="236"/>
    </row>
    <row r="466" spans="1:14" x14ac:dyDescent="0.2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2">
      <c r="A468" s="237" t="str">
        <f>name!E$4</f>
        <v>Managers, directors and senior officials</v>
      </c>
      <c r="B468" s="302">
        <v>0.313228038672273</v>
      </c>
      <c r="C468" s="302">
        <v>1.4582589121745517</v>
      </c>
      <c r="D468" s="302">
        <f>SUM(B468:C468)</f>
        <v>1.7714869508468247</v>
      </c>
      <c r="E468" s="303"/>
      <c r="F468" s="302">
        <v>0.36416574249516764</v>
      </c>
      <c r="G468" s="302">
        <v>1.3485875125786346</v>
      </c>
      <c r="H468" s="302">
        <f>SUM(F468:G468)</f>
        <v>1.7127532550738023</v>
      </c>
      <c r="I468" s="303"/>
      <c r="J468" s="302">
        <v>0.5176033221936579</v>
      </c>
      <c r="K468" s="302">
        <v>1.5828781630752864</v>
      </c>
      <c r="L468" s="302">
        <f>SUM(J468:K468)</f>
        <v>2.1004814852689444</v>
      </c>
      <c r="M468" s="236"/>
      <c r="N468" s="236"/>
    </row>
    <row r="469" spans="1:14" x14ac:dyDescent="0.2">
      <c r="A469" s="237" t="str">
        <f>name!E$5</f>
        <v>Professional occupations</v>
      </c>
      <c r="B469" s="302">
        <v>0.43675008432660584</v>
      </c>
      <c r="C469" s="302">
        <v>0.63125262832609985</v>
      </c>
      <c r="D469" s="302">
        <f t="shared" ref="D469:D476" si="178">SUM(B469:C469)</f>
        <v>1.0680027126527056</v>
      </c>
      <c r="E469" s="303"/>
      <c r="F469" s="302">
        <v>0.52019887194936931</v>
      </c>
      <c r="G469" s="302">
        <v>0.81722510383600344</v>
      </c>
      <c r="H469" s="302">
        <f t="shared" ref="H469:H476" si="179">SUM(F469:G469)</f>
        <v>1.3374239757853728</v>
      </c>
      <c r="I469" s="303"/>
      <c r="J469" s="302">
        <v>0.78714980703225335</v>
      </c>
      <c r="K469" s="302">
        <v>0.97651956376773108</v>
      </c>
      <c r="L469" s="302">
        <f t="shared" ref="L469:L476" si="180">SUM(J469:K469)</f>
        <v>1.7636693707999844</v>
      </c>
      <c r="M469" s="236"/>
      <c r="N469" s="236"/>
    </row>
    <row r="470" spans="1:14" x14ac:dyDescent="0.2">
      <c r="A470" s="237" t="str">
        <f>name!E$6</f>
        <v>Associate professional occupations</v>
      </c>
      <c r="B470" s="302">
        <v>0.50096044087004821</v>
      </c>
      <c r="C470" s="302">
        <v>0.60213457715411911</v>
      </c>
      <c r="D470" s="302">
        <f t="shared" si="178"/>
        <v>1.1030950180241672</v>
      </c>
      <c r="E470" s="303"/>
      <c r="F470" s="302">
        <v>0.50999945667231494</v>
      </c>
      <c r="G470" s="302">
        <v>0.71906929935802744</v>
      </c>
      <c r="H470" s="302">
        <f t="shared" si="179"/>
        <v>1.2290687560303424</v>
      </c>
      <c r="I470" s="303"/>
      <c r="J470" s="302">
        <v>0.54571097595963469</v>
      </c>
      <c r="K470" s="302">
        <v>0.69918177361443212</v>
      </c>
      <c r="L470" s="302">
        <f t="shared" si="180"/>
        <v>1.2448927495740669</v>
      </c>
      <c r="M470" s="236"/>
      <c r="N470" s="236"/>
    </row>
    <row r="471" spans="1:14" x14ac:dyDescent="0.2">
      <c r="A471" s="237" t="str">
        <f>name!E$7</f>
        <v>Administrative and secretarial occupations</v>
      </c>
      <c r="B471" s="302">
        <v>0.69628254728585448</v>
      </c>
      <c r="C471" s="302">
        <v>0.26356600293259941</v>
      </c>
      <c r="D471" s="302">
        <f t="shared" si="178"/>
        <v>0.95984855021845394</v>
      </c>
      <c r="E471" s="303"/>
      <c r="F471" s="302">
        <v>0.51361201538510348</v>
      </c>
      <c r="G471" s="302">
        <v>0.33463724289668911</v>
      </c>
      <c r="H471" s="302">
        <f t="shared" si="179"/>
        <v>0.84824925828179265</v>
      </c>
      <c r="I471" s="303"/>
      <c r="J471" s="302">
        <v>0.33965495445421101</v>
      </c>
      <c r="K471" s="302">
        <v>0.4087329751185928</v>
      </c>
      <c r="L471" s="302">
        <f t="shared" si="180"/>
        <v>0.74838792957280376</v>
      </c>
      <c r="M471" s="236"/>
      <c r="N471" s="236"/>
    </row>
    <row r="472" spans="1:14" x14ac:dyDescent="0.2">
      <c r="A472" s="237" t="str">
        <f>name!E$8</f>
        <v>Skilled trades occupations</v>
      </c>
      <c r="B472" s="302">
        <v>0.30848196265558425</v>
      </c>
      <c r="C472" s="302">
        <v>1.8489360779782424</v>
      </c>
      <c r="D472" s="302">
        <f t="shared" si="178"/>
        <v>2.1574180406338268</v>
      </c>
      <c r="E472" s="303"/>
      <c r="F472" s="302">
        <v>0.26530646652511042</v>
      </c>
      <c r="G472" s="302">
        <v>0.9710321888086535</v>
      </c>
      <c r="H472" s="302">
        <f t="shared" si="179"/>
        <v>1.2363386553337639</v>
      </c>
      <c r="I472" s="303"/>
      <c r="J472" s="302">
        <v>0.71636272459481076</v>
      </c>
      <c r="K472" s="302">
        <v>0.96790808878268986</v>
      </c>
      <c r="L472" s="302">
        <f t="shared" si="180"/>
        <v>1.6842708133775006</v>
      </c>
      <c r="M472" s="236"/>
      <c r="N472" s="236"/>
    </row>
    <row r="473" spans="1:14" x14ac:dyDescent="0.2">
      <c r="A473" s="237" t="str">
        <f>name!E$9</f>
        <v>Caring, leisure and other service occupations</v>
      </c>
      <c r="B473" s="302">
        <v>0.18120188019191977</v>
      </c>
      <c r="C473" s="302">
        <v>0.12449570817609287</v>
      </c>
      <c r="D473" s="302">
        <f t="shared" si="178"/>
        <v>0.30569758836801264</v>
      </c>
      <c r="E473" s="303"/>
      <c r="F473" s="302">
        <v>0.12803250306883637</v>
      </c>
      <c r="G473" s="302">
        <v>0.1506841834407302</v>
      </c>
      <c r="H473" s="302">
        <f t="shared" si="179"/>
        <v>0.2787166865095666</v>
      </c>
      <c r="I473" s="303"/>
      <c r="J473" s="302">
        <v>0.11653926291256443</v>
      </c>
      <c r="K473" s="302">
        <v>0.17039397471539544</v>
      </c>
      <c r="L473" s="302">
        <f t="shared" si="180"/>
        <v>0.28693323762795986</v>
      </c>
      <c r="M473" s="236"/>
      <c r="N473" s="236"/>
    </row>
    <row r="474" spans="1:14" x14ac:dyDescent="0.2">
      <c r="A474" s="237" t="str">
        <f>name!E$10</f>
        <v>Sales and customer service occupations</v>
      </c>
      <c r="B474" s="302">
        <v>0.1830006123417075</v>
      </c>
      <c r="C474" s="302">
        <v>0.31668894569841122</v>
      </c>
      <c r="D474" s="302">
        <f t="shared" si="178"/>
        <v>0.49968955804011872</v>
      </c>
      <c r="E474" s="303"/>
      <c r="F474" s="302">
        <v>0.14380932926898143</v>
      </c>
      <c r="G474" s="302">
        <v>0.24962610984398984</v>
      </c>
      <c r="H474" s="302">
        <f t="shared" si="179"/>
        <v>0.3934354391129713</v>
      </c>
      <c r="I474" s="303"/>
      <c r="J474" s="302">
        <v>0.17369021679627475</v>
      </c>
      <c r="K474" s="302">
        <v>0.30411690367468613</v>
      </c>
      <c r="L474" s="302">
        <f t="shared" si="180"/>
        <v>0.47780712047096086</v>
      </c>
      <c r="M474" s="236"/>
      <c r="N474" s="236"/>
    </row>
    <row r="475" spans="1:14" x14ac:dyDescent="0.2">
      <c r="A475" s="237" t="str">
        <f>name!E$11</f>
        <v>Process, plant and machine operatives</v>
      </c>
      <c r="B475" s="302">
        <v>0.28107575490417708</v>
      </c>
      <c r="C475" s="302">
        <v>3.0058825729153154</v>
      </c>
      <c r="D475" s="302">
        <f t="shared" si="178"/>
        <v>3.2869583278194923</v>
      </c>
      <c r="E475" s="303"/>
      <c r="F475" s="302">
        <v>0.21381140776831528</v>
      </c>
      <c r="G475" s="302">
        <v>3.2994856766514333</v>
      </c>
      <c r="H475" s="302">
        <f t="shared" si="179"/>
        <v>3.5132970844197486</v>
      </c>
      <c r="I475" s="303"/>
      <c r="J475" s="302">
        <v>0.28016671593986164</v>
      </c>
      <c r="K475" s="302">
        <v>4.0757394596460559</v>
      </c>
      <c r="L475" s="302">
        <f t="shared" si="180"/>
        <v>4.3559061755859174</v>
      </c>
      <c r="M475" s="236"/>
      <c r="N475" s="236"/>
    </row>
    <row r="476" spans="1:14" x14ac:dyDescent="0.2">
      <c r="A476" s="237" t="str">
        <f>name!E$12</f>
        <v>Elementary occupations</v>
      </c>
      <c r="B476" s="302">
        <v>0.30601867874844635</v>
      </c>
      <c r="C476" s="302">
        <v>1.9267845746308498</v>
      </c>
      <c r="D476" s="302">
        <f t="shared" si="178"/>
        <v>2.2328032533792963</v>
      </c>
      <c r="E476" s="303"/>
      <c r="F476" s="302">
        <v>0.19506420684528816</v>
      </c>
      <c r="G476" s="302">
        <v>2.1386526826720482</v>
      </c>
      <c r="H476" s="302">
        <f t="shared" si="179"/>
        <v>2.3337168895173366</v>
      </c>
      <c r="I476" s="303"/>
      <c r="J476" s="302">
        <v>0.12912202012795568</v>
      </c>
      <c r="K476" s="302">
        <v>2.1225290977658515</v>
      </c>
      <c r="L476" s="302">
        <f t="shared" si="180"/>
        <v>2.251651117893807</v>
      </c>
      <c r="M476" s="236"/>
      <c r="N476" s="236"/>
    </row>
    <row r="477" spans="1:14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2">
      <c r="A478" s="244" t="s">
        <v>32</v>
      </c>
      <c r="B478" s="311">
        <f>SUM(B468:B476)</f>
        <v>3.2069999999966163</v>
      </c>
      <c r="C478" s="311">
        <f t="shared" ref="C478:D478" si="181">SUM(C468:C476)</f>
        <v>10.17799999998628</v>
      </c>
      <c r="D478" s="311">
        <f t="shared" si="181"/>
        <v>13.384999999982899</v>
      </c>
      <c r="E478" s="311"/>
      <c r="F478" s="311">
        <f t="shared" ref="F478:H478" si="182">SUM(F468:F476)</f>
        <v>2.8539999999784875</v>
      </c>
      <c r="G478" s="311">
        <f t="shared" si="182"/>
        <v>10.02900000008621</v>
      </c>
      <c r="H478" s="311">
        <f t="shared" si="182"/>
        <v>12.883000000064698</v>
      </c>
      <c r="I478" s="311"/>
      <c r="J478" s="311">
        <f t="shared" ref="J478:L478" si="183">SUM(J468:J476)</f>
        <v>3.6060000000112238</v>
      </c>
      <c r="K478" s="311">
        <f t="shared" si="183"/>
        <v>11.308000000160721</v>
      </c>
      <c r="L478" s="311">
        <f t="shared" si="183"/>
        <v>14.914000000171946</v>
      </c>
      <c r="M478" s="236"/>
      <c r="N478" s="236"/>
    </row>
    <row r="479" spans="1:14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2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2">
      <c r="A482" s="241" t="str">
        <f>name!A31</f>
        <v>Construction</v>
      </c>
      <c r="B482" s="372">
        <f>B$6</f>
        <v>2015</v>
      </c>
      <c r="C482" s="372"/>
      <c r="D482" s="372"/>
      <c r="E482" s="253"/>
      <c r="F482" s="372">
        <f>F465</f>
        <v>2020</v>
      </c>
      <c r="G482" s="372"/>
      <c r="H482" s="372"/>
      <c r="I482" s="253"/>
      <c r="J482" s="372">
        <f>J465</f>
        <v>2035</v>
      </c>
      <c r="K482" s="372"/>
      <c r="L482" s="372"/>
      <c r="M482" s="236"/>
      <c r="N482" s="236"/>
    </row>
    <row r="483" spans="1:14" x14ac:dyDescent="0.2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2">
      <c r="A485" s="237" t="str">
        <f>name!E$4</f>
        <v>Managers, directors and senior officials</v>
      </c>
      <c r="B485" s="302">
        <v>1.1897480451001148</v>
      </c>
      <c r="C485" s="302">
        <v>3.6397568615228817</v>
      </c>
      <c r="D485" s="302">
        <f>SUM(B485:C485)</f>
        <v>4.8295049066229963</v>
      </c>
      <c r="E485" s="303"/>
      <c r="F485" s="302">
        <v>3.0953090497918119</v>
      </c>
      <c r="G485" s="302">
        <v>7.1539036239827514</v>
      </c>
      <c r="H485" s="302">
        <f>SUM(F485:G485)</f>
        <v>10.249212673774563</v>
      </c>
      <c r="I485" s="303"/>
      <c r="J485" s="302">
        <v>4.3928903134054966</v>
      </c>
      <c r="K485" s="302">
        <v>8.3235602091256187</v>
      </c>
      <c r="L485" s="302">
        <f>SUM(J485:K485)</f>
        <v>12.716450522531115</v>
      </c>
      <c r="M485" s="236"/>
      <c r="N485" s="236"/>
    </row>
    <row r="486" spans="1:14" x14ac:dyDescent="0.2">
      <c r="A486" s="237" t="str">
        <f>name!E$5</f>
        <v>Professional occupations</v>
      </c>
      <c r="B486" s="302">
        <v>1.2033674728451962</v>
      </c>
      <c r="C486" s="302">
        <v>4.6181106829691405</v>
      </c>
      <c r="D486" s="302">
        <f t="shared" ref="D486:D493" si="184">SUM(B486:C486)</f>
        <v>5.8214781558143365</v>
      </c>
      <c r="E486" s="303"/>
      <c r="F486" s="302">
        <v>2.4693179494677904</v>
      </c>
      <c r="G486" s="302">
        <v>9.4930219165028564</v>
      </c>
      <c r="H486" s="302">
        <f t="shared" ref="H486:H493" si="185">SUM(F486:G486)</f>
        <v>11.962339865970646</v>
      </c>
      <c r="I486" s="303"/>
      <c r="J486" s="302">
        <v>3.7494401551499656</v>
      </c>
      <c r="K486" s="302">
        <v>13.14911759634793</v>
      </c>
      <c r="L486" s="302">
        <f t="shared" ref="L486:L493" si="186">SUM(J486:K486)</f>
        <v>16.898557751497897</v>
      </c>
      <c r="M486" s="236"/>
      <c r="N486" s="236"/>
    </row>
    <row r="487" spans="1:14" x14ac:dyDescent="0.2">
      <c r="A487" s="237" t="str">
        <f>name!E$6</f>
        <v>Associate professional occupations</v>
      </c>
      <c r="B487" s="302">
        <v>0.98769118813649814</v>
      </c>
      <c r="C487" s="302">
        <v>2.3011077011773615</v>
      </c>
      <c r="D487" s="302">
        <f t="shared" si="184"/>
        <v>3.2887988893138598</v>
      </c>
      <c r="E487" s="303"/>
      <c r="F487" s="302">
        <v>1.8202150259524055</v>
      </c>
      <c r="G487" s="302">
        <v>4.5947927889892819</v>
      </c>
      <c r="H487" s="302">
        <f t="shared" si="185"/>
        <v>6.4150078149416876</v>
      </c>
      <c r="I487" s="303"/>
      <c r="J487" s="302">
        <v>2.4731356124844752</v>
      </c>
      <c r="K487" s="302">
        <v>4.9950395501061022</v>
      </c>
      <c r="L487" s="302">
        <f t="shared" si="186"/>
        <v>7.4681751625905779</v>
      </c>
      <c r="M487" s="236"/>
      <c r="N487" s="236"/>
    </row>
    <row r="488" spans="1:14" x14ac:dyDescent="0.2">
      <c r="A488" s="237" t="str">
        <f>name!E$7</f>
        <v>Administrative and secretarial occupations</v>
      </c>
      <c r="B488" s="302">
        <v>4.0744988366440698</v>
      </c>
      <c r="C488" s="302">
        <v>0.37829380623209075</v>
      </c>
      <c r="D488" s="302">
        <f t="shared" si="184"/>
        <v>4.4527926428761608</v>
      </c>
      <c r="E488" s="303"/>
      <c r="F488" s="302">
        <v>6.877509948709065</v>
      </c>
      <c r="G488" s="302">
        <v>0.7200117879090121</v>
      </c>
      <c r="H488" s="302">
        <f t="shared" si="185"/>
        <v>7.5975217366180772</v>
      </c>
      <c r="I488" s="303"/>
      <c r="J488" s="302">
        <v>6.267168403289717</v>
      </c>
      <c r="K488" s="302">
        <v>0.82298297383099639</v>
      </c>
      <c r="L488" s="302">
        <f t="shared" si="186"/>
        <v>7.0901513771207139</v>
      </c>
      <c r="M488" s="236"/>
      <c r="N488" s="236"/>
    </row>
    <row r="489" spans="1:14" x14ac:dyDescent="0.2">
      <c r="A489" s="237" t="str">
        <f>name!E$8</f>
        <v>Skilled trades occupations</v>
      </c>
      <c r="B489" s="302">
        <v>0.24111142656452944</v>
      </c>
      <c r="C489" s="302">
        <v>26.672102699290647</v>
      </c>
      <c r="D489" s="302">
        <f t="shared" si="184"/>
        <v>26.913214125855177</v>
      </c>
      <c r="E489" s="303"/>
      <c r="F489" s="302">
        <v>0.60323516159334356</v>
      </c>
      <c r="G489" s="302">
        <v>33.111781796383042</v>
      </c>
      <c r="H489" s="302">
        <f t="shared" si="185"/>
        <v>33.715016957976388</v>
      </c>
      <c r="I489" s="303"/>
      <c r="J489" s="302">
        <v>1.3182014947724088</v>
      </c>
      <c r="K489" s="302">
        <v>38.131184097714929</v>
      </c>
      <c r="L489" s="302">
        <f t="shared" si="186"/>
        <v>39.449385592487339</v>
      </c>
      <c r="M489" s="236"/>
      <c r="N489" s="236"/>
    </row>
    <row r="490" spans="1:14" x14ac:dyDescent="0.2">
      <c r="A490" s="237" t="str">
        <f>name!E$9</f>
        <v>Caring, leisure and other service occupations</v>
      </c>
      <c r="B490" s="302">
        <v>4.7494440562394921E-2</v>
      </c>
      <c r="C490" s="302">
        <v>7.4399265972616369E-2</v>
      </c>
      <c r="D490" s="302">
        <f t="shared" si="184"/>
        <v>0.12189370653501129</v>
      </c>
      <c r="E490" s="303"/>
      <c r="F490" s="302">
        <v>0.10424326282906597</v>
      </c>
      <c r="G490" s="302">
        <v>0.14900634165754545</v>
      </c>
      <c r="H490" s="302">
        <f t="shared" si="185"/>
        <v>0.25324960448661143</v>
      </c>
      <c r="I490" s="303"/>
      <c r="J490" s="302">
        <v>0.19763580225141111</v>
      </c>
      <c r="K490" s="302">
        <v>0.17842005731758764</v>
      </c>
      <c r="L490" s="302">
        <f t="shared" si="186"/>
        <v>0.37605585956899878</v>
      </c>
      <c r="M490" s="236"/>
      <c r="N490" s="236"/>
    </row>
    <row r="491" spans="1:14" x14ac:dyDescent="0.2">
      <c r="A491" s="237" t="str">
        <f>name!E$10</f>
        <v>Sales and customer service occupations</v>
      </c>
      <c r="B491" s="302">
        <v>0.62661653601757461</v>
      </c>
      <c r="C491" s="302">
        <v>0.43829730665032779</v>
      </c>
      <c r="D491" s="302">
        <f t="shared" si="184"/>
        <v>1.0649138426679023</v>
      </c>
      <c r="E491" s="303"/>
      <c r="F491" s="302">
        <v>0.97606269991000161</v>
      </c>
      <c r="G491" s="302">
        <v>0.78037017059904901</v>
      </c>
      <c r="H491" s="302">
        <f t="shared" si="185"/>
        <v>1.7564328705090506</v>
      </c>
      <c r="I491" s="303"/>
      <c r="J491" s="302">
        <v>1.303317766782865</v>
      </c>
      <c r="K491" s="302">
        <v>1.0433034550402238</v>
      </c>
      <c r="L491" s="302">
        <f t="shared" si="186"/>
        <v>2.3466212218230886</v>
      </c>
      <c r="M491" s="236"/>
      <c r="N491" s="236"/>
    </row>
    <row r="492" spans="1:14" x14ac:dyDescent="0.2">
      <c r="A492" s="237" t="str">
        <f>name!E$11</f>
        <v>Process, plant and machine operatives</v>
      </c>
      <c r="B492" s="302">
        <v>5.2630366814060574E-2</v>
      </c>
      <c r="C492" s="302">
        <v>4.3658004399603385</v>
      </c>
      <c r="D492" s="302">
        <f t="shared" si="184"/>
        <v>4.4184308067743991</v>
      </c>
      <c r="E492" s="303"/>
      <c r="F492" s="302">
        <v>7.7752166231747882E-2</v>
      </c>
      <c r="G492" s="302">
        <v>6.1190178090759657</v>
      </c>
      <c r="H492" s="302">
        <f t="shared" si="185"/>
        <v>6.1967699753077135</v>
      </c>
      <c r="I492" s="303"/>
      <c r="J492" s="302">
        <v>0.12502039207333746</v>
      </c>
      <c r="K492" s="302">
        <v>8.0961578751189194</v>
      </c>
      <c r="L492" s="302">
        <f t="shared" si="186"/>
        <v>8.221178267192256</v>
      </c>
      <c r="M492" s="236"/>
      <c r="N492" s="236"/>
    </row>
    <row r="493" spans="1:14" x14ac:dyDescent="0.2">
      <c r="A493" s="237" t="str">
        <f>name!E$12</f>
        <v>Elementary occupations</v>
      </c>
      <c r="B493" s="302">
        <v>0.2278416872915319</v>
      </c>
      <c r="C493" s="302">
        <v>2.6481312354425954</v>
      </c>
      <c r="D493" s="302">
        <f t="shared" si="184"/>
        <v>2.8759729227341273</v>
      </c>
      <c r="E493" s="303"/>
      <c r="F493" s="302">
        <v>0.38435473544534249</v>
      </c>
      <c r="G493" s="302">
        <v>3.6860937646005039</v>
      </c>
      <c r="H493" s="302">
        <f t="shared" si="185"/>
        <v>4.0704485000458464</v>
      </c>
      <c r="I493" s="303"/>
      <c r="J493" s="302">
        <v>0.46619005985554712</v>
      </c>
      <c r="K493" s="302">
        <v>3.7422341842010103</v>
      </c>
      <c r="L493" s="302">
        <f t="shared" si="186"/>
        <v>4.2084242440565571</v>
      </c>
      <c r="M493" s="236"/>
      <c r="N493" s="236"/>
    </row>
    <row r="494" spans="1:14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2">
      <c r="A495" s="244" t="s">
        <v>32</v>
      </c>
      <c r="B495" s="311">
        <f>SUM(B485:B493)</f>
        <v>8.650999999975971</v>
      </c>
      <c r="C495" s="311">
        <f t="shared" ref="C495:D495" si="187">SUM(C485:C493)</f>
        <v>45.135999999218001</v>
      </c>
      <c r="D495" s="311">
        <f t="shared" si="187"/>
        <v>53.786999999193974</v>
      </c>
      <c r="E495" s="311"/>
      <c r="F495" s="311">
        <f t="shared" ref="F495:H495" si="188">SUM(F485:F493)</f>
        <v>16.407999999930571</v>
      </c>
      <c r="G495" s="311">
        <f t="shared" si="188"/>
        <v>65.807999999700002</v>
      </c>
      <c r="H495" s="311">
        <f t="shared" si="188"/>
        <v>82.215999999630583</v>
      </c>
      <c r="I495" s="311"/>
      <c r="J495" s="311">
        <f t="shared" ref="J495:L495" si="189">SUM(J485:J493)</f>
        <v>20.293000000065224</v>
      </c>
      <c r="K495" s="311">
        <f t="shared" si="189"/>
        <v>78.481999998803303</v>
      </c>
      <c r="L495" s="311">
        <f t="shared" si="189"/>
        <v>98.774999998868537</v>
      </c>
      <c r="M495" s="236"/>
      <c r="N495" s="236"/>
    </row>
    <row r="496" spans="1:14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2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2">
      <c r="A499" s="241" t="str">
        <f>name!A32</f>
        <v>Civil engineering</v>
      </c>
      <c r="B499" s="372">
        <f>B$6</f>
        <v>2015</v>
      </c>
      <c r="C499" s="372"/>
      <c r="D499" s="372"/>
      <c r="E499" s="253"/>
      <c r="F499" s="372">
        <f>F482</f>
        <v>2020</v>
      </c>
      <c r="G499" s="372"/>
      <c r="H499" s="372"/>
      <c r="I499" s="253"/>
      <c r="J499" s="372">
        <f>J482</f>
        <v>2035</v>
      </c>
      <c r="K499" s="372"/>
      <c r="L499" s="372"/>
      <c r="M499" s="236"/>
      <c r="N499" s="236"/>
    </row>
    <row r="500" spans="1:14" x14ac:dyDescent="0.2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2">
      <c r="A502" s="237" t="str">
        <f>name!E$4</f>
        <v>Managers, directors and senior officials</v>
      </c>
      <c r="B502" s="302">
        <v>0.1923938710622512</v>
      </c>
      <c r="C502" s="302">
        <v>1.4388633037073533</v>
      </c>
      <c r="D502" s="302">
        <f>SUM(B502:C502)</f>
        <v>1.6312571747696045</v>
      </c>
      <c r="E502" s="303"/>
      <c r="F502" s="302">
        <v>0.33150444433395465</v>
      </c>
      <c r="G502" s="302">
        <v>2.2007562462167725</v>
      </c>
      <c r="H502" s="302">
        <f>SUM(F502:G502)</f>
        <v>2.5322606905507272</v>
      </c>
      <c r="I502" s="303"/>
      <c r="J502" s="302">
        <v>0.51616643997511313</v>
      </c>
      <c r="K502" s="302">
        <v>2.5605553400746071</v>
      </c>
      <c r="L502" s="302">
        <f>SUM(J502:K502)</f>
        <v>3.07672178004972</v>
      </c>
      <c r="M502" s="236"/>
      <c r="N502" s="236"/>
    </row>
    <row r="503" spans="1:14" x14ac:dyDescent="0.2">
      <c r="A503" s="237" t="str">
        <f>name!E$5</f>
        <v>Professional occupations</v>
      </c>
      <c r="B503" s="302">
        <v>0.16519000506776269</v>
      </c>
      <c r="C503" s="302">
        <v>1.8181036998139506</v>
      </c>
      <c r="D503" s="302">
        <f t="shared" ref="D503:D510" si="190">SUM(B503:C503)</f>
        <v>1.9832937048817132</v>
      </c>
      <c r="E503" s="303"/>
      <c r="F503" s="302">
        <v>0.25274593263406875</v>
      </c>
      <c r="G503" s="302">
        <v>2.9172982861508325</v>
      </c>
      <c r="H503" s="302">
        <f t="shared" ref="H503:H510" si="191">SUM(F503:G503)</f>
        <v>3.1700442187849012</v>
      </c>
      <c r="I503" s="303"/>
      <c r="J503" s="302">
        <v>0.39168598095879137</v>
      </c>
      <c r="K503" s="302">
        <v>4.0387262558242467</v>
      </c>
      <c r="L503" s="302">
        <f t="shared" ref="L503:L510" si="192">SUM(J503:K503)</f>
        <v>4.4304122367830381</v>
      </c>
      <c r="M503" s="236"/>
      <c r="N503" s="236"/>
    </row>
    <row r="504" spans="1:14" x14ac:dyDescent="0.2">
      <c r="A504" s="237" t="str">
        <f>name!E$6</f>
        <v>Associate professional occupations</v>
      </c>
      <c r="B504" s="302">
        <v>0.14465161847701688</v>
      </c>
      <c r="C504" s="302">
        <v>0.90434919865461594</v>
      </c>
      <c r="D504" s="302">
        <f t="shared" si="190"/>
        <v>1.0490008171316327</v>
      </c>
      <c r="E504" s="303"/>
      <c r="F504" s="302">
        <v>0.19436421962667982</v>
      </c>
      <c r="G504" s="302">
        <v>1.4069327163341188</v>
      </c>
      <c r="H504" s="302">
        <f t="shared" si="191"/>
        <v>1.6012969359607987</v>
      </c>
      <c r="I504" s="303"/>
      <c r="J504" s="302">
        <v>0.27245660135852989</v>
      </c>
      <c r="K504" s="302">
        <v>1.5315835177284223</v>
      </c>
      <c r="L504" s="302">
        <f t="shared" si="192"/>
        <v>1.8040401190869522</v>
      </c>
      <c r="M504" s="236"/>
      <c r="N504" s="236"/>
    </row>
    <row r="505" spans="1:14" x14ac:dyDescent="0.2">
      <c r="A505" s="237" t="str">
        <f>name!E$7</f>
        <v>Administrative and secretarial occupations</v>
      </c>
      <c r="B505" s="302">
        <v>0.68584789530967538</v>
      </c>
      <c r="C505" s="302">
        <v>0.14824370188093375</v>
      </c>
      <c r="D505" s="302">
        <f t="shared" si="190"/>
        <v>0.8340915971906091</v>
      </c>
      <c r="E505" s="303"/>
      <c r="F505" s="302">
        <v>0.80023845291406093</v>
      </c>
      <c r="G505" s="302">
        <v>0.21900390598784514</v>
      </c>
      <c r="H505" s="302">
        <f t="shared" si="191"/>
        <v>1.0192423589019062</v>
      </c>
      <c r="I505" s="303"/>
      <c r="J505" s="302">
        <v>0.81447638702072922</v>
      </c>
      <c r="K505" s="302">
        <v>0.25166489917615703</v>
      </c>
      <c r="L505" s="302">
        <f t="shared" si="192"/>
        <v>1.0661412861968862</v>
      </c>
      <c r="M505" s="236"/>
      <c r="N505" s="236"/>
    </row>
    <row r="506" spans="1:14" x14ac:dyDescent="0.2">
      <c r="A506" s="237" t="str">
        <f>name!E$8</f>
        <v>Skilled trades occupations</v>
      </c>
      <c r="B506" s="302">
        <v>3.6392742642978509E-2</v>
      </c>
      <c r="C506" s="302">
        <v>10.770030326052597</v>
      </c>
      <c r="D506" s="302">
        <f t="shared" si="190"/>
        <v>10.806423068695576</v>
      </c>
      <c r="E506" s="303"/>
      <c r="F506" s="302">
        <v>6.4150748974459493E-2</v>
      </c>
      <c r="G506" s="302">
        <v>10.341558035806754</v>
      </c>
      <c r="H506" s="302">
        <f t="shared" si="191"/>
        <v>10.405708784781213</v>
      </c>
      <c r="I506" s="303"/>
      <c r="J506" s="302">
        <v>0.14953691581181633</v>
      </c>
      <c r="K506" s="302">
        <v>11.905224637919153</v>
      </c>
      <c r="L506" s="302">
        <f t="shared" si="192"/>
        <v>12.05476155373097</v>
      </c>
      <c r="M506" s="236"/>
      <c r="N506" s="236"/>
    </row>
    <row r="507" spans="1:14" x14ac:dyDescent="0.2">
      <c r="A507" s="237" t="str">
        <f>name!E$9</f>
        <v>Caring, leisure and other service occupations</v>
      </c>
      <c r="B507" s="302">
        <v>7.8829849553063817E-3</v>
      </c>
      <c r="C507" s="302">
        <v>2.8958367362161109E-2</v>
      </c>
      <c r="D507" s="302">
        <f t="shared" si="190"/>
        <v>3.6841352317467491E-2</v>
      </c>
      <c r="E507" s="303"/>
      <c r="F507" s="302">
        <v>1.0764365333174377E-2</v>
      </c>
      <c r="G507" s="302">
        <v>4.4818052424747734E-2</v>
      </c>
      <c r="H507" s="302">
        <f t="shared" si="191"/>
        <v>5.5582417757922109E-2</v>
      </c>
      <c r="I507" s="303"/>
      <c r="J507" s="302">
        <v>2.3748619417948817E-2</v>
      </c>
      <c r="K507" s="302">
        <v>5.4166843819359156E-2</v>
      </c>
      <c r="L507" s="302">
        <f t="shared" si="192"/>
        <v>7.7915463237307969E-2</v>
      </c>
      <c r="M507" s="236"/>
      <c r="N507" s="236"/>
    </row>
    <row r="508" spans="1:14" x14ac:dyDescent="0.2">
      <c r="A508" s="237" t="str">
        <f>name!E$10</f>
        <v>Sales and customer service occupations</v>
      </c>
      <c r="B508" s="302">
        <v>0.10291785395971118</v>
      </c>
      <c r="C508" s="302">
        <v>0.1710810631479833</v>
      </c>
      <c r="D508" s="302">
        <f t="shared" si="190"/>
        <v>0.27399891710769447</v>
      </c>
      <c r="E508" s="303"/>
      <c r="F508" s="302">
        <v>0.11858654676795127</v>
      </c>
      <c r="G508" s="302">
        <v>0.23431475300223586</v>
      </c>
      <c r="H508" s="302">
        <f t="shared" si="191"/>
        <v>0.35290129977018714</v>
      </c>
      <c r="I508" s="303"/>
      <c r="J508" s="302">
        <v>0.16382792215766989</v>
      </c>
      <c r="K508" s="302">
        <v>0.31208874798370678</v>
      </c>
      <c r="L508" s="302">
        <f t="shared" si="192"/>
        <v>0.47591667014137667</v>
      </c>
      <c r="M508" s="236"/>
      <c r="N508" s="236"/>
    </row>
    <row r="509" spans="1:14" x14ac:dyDescent="0.2">
      <c r="A509" s="237" t="str">
        <f>name!E$11</f>
        <v>Process, plant and machine operatives</v>
      </c>
      <c r="B509" s="302">
        <v>7.6537977339354718E-3</v>
      </c>
      <c r="C509" s="302">
        <v>1.7265889336362483</v>
      </c>
      <c r="D509" s="302">
        <f t="shared" si="190"/>
        <v>1.7342427313701838</v>
      </c>
      <c r="E509" s="303"/>
      <c r="F509" s="302">
        <v>8.1017421174780259E-3</v>
      </c>
      <c r="G509" s="302">
        <v>1.8848058969604957</v>
      </c>
      <c r="H509" s="302">
        <f t="shared" si="191"/>
        <v>1.8929076390779738</v>
      </c>
      <c r="I509" s="303"/>
      <c r="J509" s="302">
        <v>1.5330908006128539E-2</v>
      </c>
      <c r="K509" s="302">
        <v>2.4968175510140198</v>
      </c>
      <c r="L509" s="302">
        <f t="shared" si="192"/>
        <v>2.5121484590201484</v>
      </c>
      <c r="M509" s="236"/>
      <c r="N509" s="236"/>
    </row>
    <row r="510" spans="1:14" x14ac:dyDescent="0.2">
      <c r="A510" s="237" t="str">
        <f>name!E$12</f>
        <v>Elementary occupations</v>
      </c>
      <c r="B510" s="302">
        <v>4.8069230787474639E-2</v>
      </c>
      <c r="C510" s="302">
        <v>1.0477814054216716</v>
      </c>
      <c r="D510" s="302">
        <f t="shared" si="190"/>
        <v>1.0958506362091462</v>
      </c>
      <c r="E510" s="303"/>
      <c r="F510" s="302">
        <v>4.554354729512864E-2</v>
      </c>
      <c r="G510" s="302">
        <v>1.1275121070176788</v>
      </c>
      <c r="H510" s="302">
        <f t="shared" si="191"/>
        <v>1.1730556543128074</v>
      </c>
      <c r="I510" s="303"/>
      <c r="J510" s="302">
        <v>6.1770225296606848E-2</v>
      </c>
      <c r="K510" s="302">
        <v>1.1551722060745637</v>
      </c>
      <c r="L510" s="302">
        <f t="shared" si="192"/>
        <v>1.2169424313711705</v>
      </c>
      <c r="M510" s="236"/>
      <c r="N510" s="236"/>
    </row>
    <row r="511" spans="1:14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2">
      <c r="A512" s="244" t="s">
        <v>32</v>
      </c>
      <c r="B512" s="311">
        <f>SUM(B502:B510)</f>
        <v>1.3909999999961122</v>
      </c>
      <c r="C512" s="311">
        <f t="shared" ref="C512:D512" si="193">SUM(C502:C510)</f>
        <v>18.053999999677512</v>
      </c>
      <c r="D512" s="311">
        <f t="shared" si="193"/>
        <v>19.444999999673627</v>
      </c>
      <c r="E512" s="311"/>
      <c r="F512" s="311">
        <f t="shared" ref="F512:H512" si="194">SUM(F502:F510)</f>
        <v>1.8259999999969561</v>
      </c>
      <c r="G512" s="311">
        <f t="shared" si="194"/>
        <v>20.376999999901482</v>
      </c>
      <c r="H512" s="311">
        <f t="shared" si="194"/>
        <v>22.202999999898434</v>
      </c>
      <c r="I512" s="311"/>
      <c r="J512" s="311">
        <f t="shared" ref="J512:L512" si="195">SUM(J502:J510)</f>
        <v>2.409000000003334</v>
      </c>
      <c r="K512" s="311">
        <f t="shared" si="195"/>
        <v>24.305999999614237</v>
      </c>
      <c r="L512" s="311">
        <f t="shared" si="195"/>
        <v>26.714999999617568</v>
      </c>
      <c r="M512" s="236"/>
      <c r="N512" s="236"/>
    </row>
    <row r="513" spans="1:14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2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2">
      <c r="A516" s="241" t="str">
        <f>name!A33</f>
        <v>Specialised construction</v>
      </c>
      <c r="B516" s="372">
        <f>B$6</f>
        <v>2015</v>
      </c>
      <c r="C516" s="372"/>
      <c r="D516" s="372"/>
      <c r="E516" s="253"/>
      <c r="F516" s="372">
        <f>F499</f>
        <v>2020</v>
      </c>
      <c r="G516" s="372"/>
      <c r="H516" s="372"/>
      <c r="I516" s="253"/>
      <c r="J516" s="372">
        <f>J499</f>
        <v>2035</v>
      </c>
      <c r="K516" s="372"/>
      <c r="L516" s="372"/>
      <c r="M516" s="236"/>
      <c r="N516" s="236"/>
    </row>
    <row r="517" spans="1:14" x14ac:dyDescent="0.2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2">
      <c r="A519" s="237" t="str">
        <f>name!E$4</f>
        <v>Managers, directors and senior officials</v>
      </c>
      <c r="B519" s="302">
        <v>2.0055187637534937</v>
      </c>
      <c r="C519" s="302">
        <v>8.4031417787404532</v>
      </c>
      <c r="D519" s="302">
        <f>SUM(B519:C519)</f>
        <v>10.408660542493948</v>
      </c>
      <c r="E519" s="303"/>
      <c r="F519" s="302">
        <v>2.8167096012709369</v>
      </c>
      <c r="G519" s="302">
        <v>11.017345578421111</v>
      </c>
      <c r="H519" s="302">
        <f>SUM(F519:G519)</f>
        <v>13.834055179692047</v>
      </c>
      <c r="I519" s="303"/>
      <c r="J519" s="302">
        <v>4.0192212764315718</v>
      </c>
      <c r="K519" s="302">
        <v>12.81670111157743</v>
      </c>
      <c r="L519" s="302">
        <f>SUM(J519:K519)</f>
        <v>16.835922388009003</v>
      </c>
      <c r="M519" s="236"/>
      <c r="N519" s="236"/>
    </row>
    <row r="520" spans="1:14" x14ac:dyDescent="0.2">
      <c r="A520" s="237" t="str">
        <f>name!E$5</f>
        <v>Professional occupations</v>
      </c>
      <c r="B520" s="302">
        <v>2.0074787602430506</v>
      </c>
      <c r="C520" s="302">
        <v>10.518660415677331</v>
      </c>
      <c r="D520" s="302">
        <f t="shared" ref="D520:D527" si="196">SUM(B520:C520)</f>
        <v>12.526139175920381</v>
      </c>
      <c r="E520" s="303"/>
      <c r="F520" s="302">
        <v>2.5740835240286351</v>
      </c>
      <c r="G520" s="302">
        <v>14.461929647008445</v>
      </c>
      <c r="H520" s="302">
        <f t="shared" ref="H520:H527" si="197">SUM(F520:G520)</f>
        <v>17.03601317103708</v>
      </c>
      <c r="I520" s="303"/>
      <c r="J520" s="302">
        <v>3.918185718945296</v>
      </c>
      <c r="K520" s="302">
        <v>19.972178463093627</v>
      </c>
      <c r="L520" s="302">
        <f t="shared" ref="L520:L527" si="198">SUM(J520:K520)</f>
        <v>23.890364182038923</v>
      </c>
      <c r="M520" s="236"/>
      <c r="N520" s="236"/>
    </row>
    <row r="521" spans="1:14" x14ac:dyDescent="0.2">
      <c r="A521" s="237" t="str">
        <f>name!E$6</f>
        <v>Associate professional occupations</v>
      </c>
      <c r="B521" s="302">
        <v>1.7219859157609756</v>
      </c>
      <c r="C521" s="302">
        <v>5.225988750319793</v>
      </c>
      <c r="D521" s="302">
        <f t="shared" si="196"/>
        <v>6.9479746660807686</v>
      </c>
      <c r="E521" s="303"/>
      <c r="F521" s="302">
        <v>1.9429551784295371</v>
      </c>
      <c r="G521" s="302">
        <v>6.9626910113393921</v>
      </c>
      <c r="H521" s="302">
        <f t="shared" si="197"/>
        <v>8.9056461897689285</v>
      </c>
      <c r="I521" s="303"/>
      <c r="J521" s="302">
        <v>2.6395378457017169</v>
      </c>
      <c r="K521" s="302">
        <v>7.5763010184195867</v>
      </c>
      <c r="L521" s="302">
        <f t="shared" si="198"/>
        <v>10.215838864121304</v>
      </c>
      <c r="M521" s="236"/>
      <c r="N521" s="236"/>
    </row>
    <row r="522" spans="1:14" x14ac:dyDescent="0.2">
      <c r="A522" s="237" t="str">
        <f>name!E$7</f>
        <v>Administrative and secretarial occupations</v>
      </c>
      <c r="B522" s="302">
        <v>7.633562206551038</v>
      </c>
      <c r="C522" s="302">
        <v>0.86051729631024643</v>
      </c>
      <c r="D522" s="302">
        <f t="shared" si="196"/>
        <v>8.4940795028612843</v>
      </c>
      <c r="E522" s="303"/>
      <c r="F522" s="302">
        <v>7.1991720078612653</v>
      </c>
      <c r="G522" s="302">
        <v>1.0843203096168907</v>
      </c>
      <c r="H522" s="302">
        <f t="shared" si="197"/>
        <v>8.2834923174781565</v>
      </c>
      <c r="I522" s="303"/>
      <c r="J522" s="302">
        <v>6.7955070891400959</v>
      </c>
      <c r="K522" s="302">
        <v>1.2504581014638987</v>
      </c>
      <c r="L522" s="302">
        <f t="shared" si="198"/>
        <v>8.0459651906039937</v>
      </c>
      <c r="M522" s="236"/>
      <c r="N522" s="236"/>
    </row>
    <row r="523" spans="1:14" x14ac:dyDescent="0.2">
      <c r="A523" s="237" t="str">
        <f>name!E$8</f>
        <v>Skilled trades occupations</v>
      </c>
      <c r="B523" s="302">
        <v>0.39791531350752896</v>
      </c>
      <c r="C523" s="302">
        <v>65.268656641519783</v>
      </c>
      <c r="D523" s="302">
        <f t="shared" si="196"/>
        <v>65.666571955027308</v>
      </c>
      <c r="E523" s="303"/>
      <c r="F523" s="302">
        <v>0.59165393518032872</v>
      </c>
      <c r="G523" s="302">
        <v>53.314204643562086</v>
      </c>
      <c r="H523" s="302">
        <f t="shared" si="197"/>
        <v>53.905858578742411</v>
      </c>
      <c r="I523" s="303"/>
      <c r="J523" s="302">
        <v>1.2880595566830999</v>
      </c>
      <c r="K523" s="302">
        <v>61.572587493072511</v>
      </c>
      <c r="L523" s="302">
        <f t="shared" si="198"/>
        <v>62.860647049755613</v>
      </c>
      <c r="M523" s="236"/>
      <c r="N523" s="236"/>
    </row>
    <row r="524" spans="1:14" x14ac:dyDescent="0.2">
      <c r="A524" s="237" t="str">
        <f>name!E$9</f>
        <v>Caring, leisure and other service occupations</v>
      </c>
      <c r="B524" s="302">
        <v>7.9661130699910918E-2</v>
      </c>
      <c r="C524" s="302">
        <v>0.16812483249484592</v>
      </c>
      <c r="D524" s="302">
        <f t="shared" si="196"/>
        <v>0.24778596319475682</v>
      </c>
      <c r="E524" s="303"/>
      <c r="F524" s="302">
        <v>8.5699725014959968E-2</v>
      </c>
      <c r="G524" s="302">
        <v>0.22121331721465745</v>
      </c>
      <c r="H524" s="302">
        <f t="shared" si="197"/>
        <v>0.30691304222961741</v>
      </c>
      <c r="I524" s="303"/>
      <c r="J524" s="302">
        <v>0.14085981525279587</v>
      </c>
      <c r="K524" s="302">
        <v>0.26807184321784261</v>
      </c>
      <c r="L524" s="302">
        <f t="shared" si="198"/>
        <v>0.4089316584706385</v>
      </c>
      <c r="M524" s="236"/>
      <c r="N524" s="236"/>
    </row>
    <row r="525" spans="1:14" x14ac:dyDescent="0.2">
      <c r="A525" s="237" t="str">
        <f>name!E$10</f>
        <v>Sales and customer service occupations</v>
      </c>
      <c r="B525" s="302">
        <v>1.2024926322115528</v>
      </c>
      <c r="C525" s="302">
        <v>1.0042053599220406</v>
      </c>
      <c r="D525" s="302">
        <f t="shared" si="196"/>
        <v>2.2066979921335932</v>
      </c>
      <c r="E525" s="303"/>
      <c r="F525" s="302">
        <v>1.1323292895879697</v>
      </c>
      <c r="G525" s="302">
        <v>1.1638791666187831</v>
      </c>
      <c r="H525" s="302">
        <f t="shared" si="197"/>
        <v>2.2962084562067528</v>
      </c>
      <c r="I525" s="303"/>
      <c r="J525" s="302">
        <v>1.485340933712703</v>
      </c>
      <c r="K525" s="302">
        <v>1.5469251884823287</v>
      </c>
      <c r="L525" s="302">
        <f t="shared" si="198"/>
        <v>3.0322661221950318</v>
      </c>
      <c r="M525" s="236"/>
      <c r="N525" s="236"/>
    </row>
    <row r="526" spans="1:14" x14ac:dyDescent="0.2">
      <c r="A526" s="237" t="str">
        <f>name!E$11</f>
        <v>Process, plant and machine operatives</v>
      </c>
      <c r="B526" s="302">
        <v>8.8798398502102541E-2</v>
      </c>
      <c r="C526" s="302">
        <v>10.087599292129937</v>
      </c>
      <c r="D526" s="302">
        <f t="shared" si="196"/>
        <v>10.17639769063204</v>
      </c>
      <c r="E526" s="303"/>
      <c r="F526" s="302">
        <v>7.3384319191449957E-2</v>
      </c>
      <c r="G526" s="302">
        <v>9.4450396502610818</v>
      </c>
      <c r="H526" s="302">
        <f t="shared" si="197"/>
        <v>9.518423969452531</v>
      </c>
      <c r="I526" s="303"/>
      <c r="J526" s="302">
        <v>0.10422562107347778</v>
      </c>
      <c r="K526" s="302">
        <v>12.538925618007077</v>
      </c>
      <c r="L526" s="302">
        <f t="shared" si="198"/>
        <v>12.643151239080556</v>
      </c>
      <c r="M526" s="236"/>
      <c r="N526" s="236"/>
    </row>
    <row r="527" spans="1:14" x14ac:dyDescent="0.2">
      <c r="A527" s="237" t="str">
        <f>name!E$12</f>
        <v>Elementary occupations</v>
      </c>
      <c r="B527" s="302">
        <v>0.43058687872009366</v>
      </c>
      <c r="C527" s="302">
        <v>6.2061056308729583</v>
      </c>
      <c r="D527" s="302">
        <f t="shared" si="196"/>
        <v>6.6366925095930522</v>
      </c>
      <c r="E527" s="303"/>
      <c r="F527" s="302">
        <v>0.34601241939209276</v>
      </c>
      <c r="G527" s="302">
        <v>5.6853766754017663</v>
      </c>
      <c r="H527" s="302">
        <f t="shared" si="197"/>
        <v>6.0313890947938589</v>
      </c>
      <c r="I527" s="303"/>
      <c r="J527" s="302">
        <v>0.3980621430837844</v>
      </c>
      <c r="K527" s="302">
        <v>5.8858511605542843</v>
      </c>
      <c r="L527" s="302">
        <f t="shared" si="198"/>
        <v>6.2839133036380685</v>
      </c>
      <c r="M527" s="236"/>
      <c r="N527" s="236"/>
    </row>
    <row r="528" spans="1:14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2">
      <c r="A529" s="244" t="s">
        <v>32</v>
      </c>
      <c r="B529" s="311">
        <f>SUM(B519:B527)</f>
        <v>15.567999999949746</v>
      </c>
      <c r="C529" s="311">
        <f t="shared" ref="C529:D529" si="199">SUM(C519:C527)</f>
        <v>107.74299999798738</v>
      </c>
      <c r="D529" s="311">
        <f t="shared" si="199"/>
        <v>123.31099999793715</v>
      </c>
      <c r="E529" s="311"/>
      <c r="F529" s="311">
        <f t="shared" ref="F529:H529" si="200">SUM(F519:F527)</f>
        <v>16.761999999957176</v>
      </c>
      <c r="G529" s="311">
        <f t="shared" si="200"/>
        <v>103.35599999944422</v>
      </c>
      <c r="H529" s="311">
        <f t="shared" si="200"/>
        <v>120.11799999940138</v>
      </c>
      <c r="I529" s="311"/>
      <c r="J529" s="311">
        <f t="shared" ref="J529:L529" si="201">SUM(J519:J527)</f>
        <v>20.78900000002454</v>
      </c>
      <c r="K529" s="311">
        <f t="shared" si="201"/>
        <v>123.42799999788859</v>
      </c>
      <c r="L529" s="311">
        <f t="shared" si="201"/>
        <v>144.21699999791312</v>
      </c>
      <c r="M529" s="236"/>
      <c r="N529" s="236"/>
    </row>
    <row r="530" spans="1:14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2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2">
      <c r="A533" s="241" t="str">
        <f>name!A34</f>
        <v>Motor vehicle trade</v>
      </c>
      <c r="B533" s="372">
        <f>B$6</f>
        <v>2015</v>
      </c>
      <c r="C533" s="372"/>
      <c r="D533" s="372"/>
      <c r="E533" s="253"/>
      <c r="F533" s="372">
        <f>F516</f>
        <v>2020</v>
      </c>
      <c r="G533" s="372"/>
      <c r="H533" s="372"/>
      <c r="I533" s="253"/>
      <c r="J533" s="372">
        <f>J516</f>
        <v>2035</v>
      </c>
      <c r="K533" s="372"/>
      <c r="L533" s="372"/>
      <c r="M533" s="236"/>
      <c r="N533" s="236"/>
    </row>
    <row r="534" spans="1:14" x14ac:dyDescent="0.2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2">
      <c r="A536" s="237" t="str">
        <f>name!E$4</f>
        <v>Managers, directors and senior officials</v>
      </c>
      <c r="B536" s="302">
        <v>0.61849373283867437</v>
      </c>
      <c r="C536" s="302">
        <v>5.5849175995569302</v>
      </c>
      <c r="D536" s="302">
        <f>SUM(B536:C536)</f>
        <v>6.2034113323956044</v>
      </c>
      <c r="E536" s="303"/>
      <c r="F536" s="302">
        <v>0.77539841502192874</v>
      </c>
      <c r="G536" s="302">
        <v>6.040196235344343</v>
      </c>
      <c r="H536" s="302">
        <f>SUM(F536:G536)</f>
        <v>6.8155946503662719</v>
      </c>
      <c r="I536" s="303"/>
      <c r="J536" s="302">
        <v>0.83345560887009085</v>
      </c>
      <c r="K536" s="302">
        <v>7.1368030039474286</v>
      </c>
      <c r="L536" s="302">
        <f>SUM(J536:K536)</f>
        <v>7.9702586128175197</v>
      </c>
      <c r="M536" s="236"/>
      <c r="N536" s="236"/>
    </row>
    <row r="537" spans="1:14" x14ac:dyDescent="0.2">
      <c r="A537" s="237" t="str">
        <f>name!E$5</f>
        <v>Professional occupations</v>
      </c>
      <c r="B537" s="302">
        <v>0.39414107586240654</v>
      </c>
      <c r="C537" s="302">
        <v>2.2557444116248044</v>
      </c>
      <c r="D537" s="302">
        <f t="shared" ref="D537:D544" si="202">SUM(B537:C537)</f>
        <v>2.6498854874872109</v>
      </c>
      <c r="E537" s="303"/>
      <c r="F537" s="302">
        <v>0.5094955259294881</v>
      </c>
      <c r="G537" s="302">
        <v>2.7470036060483376</v>
      </c>
      <c r="H537" s="302">
        <f t="shared" ref="H537:H544" si="203">SUM(F537:G537)</f>
        <v>3.2564991319778258</v>
      </c>
      <c r="I537" s="303"/>
      <c r="J537" s="302">
        <v>0.63742783795774938</v>
      </c>
      <c r="K537" s="302">
        <v>3.5578270932883123</v>
      </c>
      <c r="L537" s="302">
        <f t="shared" ref="L537:L544" si="204">SUM(J537:K537)</f>
        <v>4.1952549312460619</v>
      </c>
      <c r="M537" s="236"/>
      <c r="N537" s="236"/>
    </row>
    <row r="538" spans="1:14" x14ac:dyDescent="0.2">
      <c r="A538" s="237" t="str">
        <f>name!E$6</f>
        <v>Associate professional occupations</v>
      </c>
      <c r="B538" s="302">
        <v>0.78349192819095881</v>
      </c>
      <c r="C538" s="302">
        <v>3.1139958288305736</v>
      </c>
      <c r="D538" s="302">
        <f t="shared" si="202"/>
        <v>3.8974877570215325</v>
      </c>
      <c r="E538" s="303"/>
      <c r="F538" s="302">
        <v>0.84478414583351902</v>
      </c>
      <c r="G538" s="302">
        <v>3.3373971986596804</v>
      </c>
      <c r="H538" s="302">
        <f t="shared" si="203"/>
        <v>4.1821813444931992</v>
      </c>
      <c r="I538" s="303"/>
      <c r="J538" s="302">
        <v>0.95280882329855221</v>
      </c>
      <c r="K538" s="302">
        <v>3.4559792644714644</v>
      </c>
      <c r="L538" s="302">
        <f t="shared" si="204"/>
        <v>4.4087880877700165</v>
      </c>
      <c r="M538" s="236"/>
      <c r="N538" s="236"/>
    </row>
    <row r="539" spans="1:14" x14ac:dyDescent="0.2">
      <c r="A539" s="237" t="str">
        <f>name!E$7</f>
        <v>Administrative and secretarial occupations</v>
      </c>
      <c r="B539" s="302">
        <v>3.8399541474683674</v>
      </c>
      <c r="C539" s="302">
        <v>3.4862889373472092</v>
      </c>
      <c r="D539" s="302">
        <f t="shared" si="202"/>
        <v>7.3262430848155766</v>
      </c>
      <c r="E539" s="303"/>
      <c r="F539" s="302">
        <v>3.3451112932697438</v>
      </c>
      <c r="G539" s="302">
        <v>3.304904602402615</v>
      </c>
      <c r="H539" s="302">
        <f t="shared" si="203"/>
        <v>6.6500158956723592</v>
      </c>
      <c r="I539" s="303"/>
      <c r="J539" s="302">
        <v>2.6109472845557731</v>
      </c>
      <c r="K539" s="302">
        <v>4.4195483843006418</v>
      </c>
      <c r="L539" s="302">
        <f t="shared" si="204"/>
        <v>7.0304956688564149</v>
      </c>
      <c r="M539" s="236"/>
      <c r="N539" s="236"/>
    </row>
    <row r="540" spans="1:14" x14ac:dyDescent="0.2">
      <c r="A540" s="237" t="str">
        <f>name!E$8</f>
        <v>Skilled trades occupations</v>
      </c>
      <c r="B540" s="302">
        <v>0.25062948302929039</v>
      </c>
      <c r="C540" s="302">
        <v>27.275555828662334</v>
      </c>
      <c r="D540" s="302">
        <f t="shared" si="202"/>
        <v>27.526185311691624</v>
      </c>
      <c r="E540" s="303"/>
      <c r="F540" s="302">
        <v>0.25328875179951899</v>
      </c>
      <c r="G540" s="302">
        <v>21.495712572692838</v>
      </c>
      <c r="H540" s="302">
        <f t="shared" si="203"/>
        <v>21.749001324492358</v>
      </c>
      <c r="I540" s="303"/>
      <c r="J540" s="302">
        <v>0.41749585057313787</v>
      </c>
      <c r="K540" s="302">
        <v>20.436573103429719</v>
      </c>
      <c r="L540" s="302">
        <f t="shared" si="204"/>
        <v>20.854068954002855</v>
      </c>
      <c r="M540" s="236"/>
      <c r="N540" s="236"/>
    </row>
    <row r="541" spans="1:14" x14ac:dyDescent="0.2">
      <c r="A541" s="237" t="str">
        <f>name!E$9</f>
        <v>Caring, leisure and other service occupations</v>
      </c>
      <c r="B541" s="302">
        <v>1.0794596102412612</v>
      </c>
      <c r="C541" s="302">
        <v>0.18744013612029267</v>
      </c>
      <c r="D541" s="302">
        <f t="shared" si="202"/>
        <v>1.2668997463615539</v>
      </c>
      <c r="E541" s="303"/>
      <c r="F541" s="302">
        <v>1.0416873979378212</v>
      </c>
      <c r="G541" s="302">
        <v>0.19249983770191278</v>
      </c>
      <c r="H541" s="302">
        <f t="shared" si="203"/>
        <v>1.2341872356397339</v>
      </c>
      <c r="I541" s="303"/>
      <c r="J541" s="302">
        <v>1.4565524571777237</v>
      </c>
      <c r="K541" s="302">
        <v>0.27370160980780395</v>
      </c>
      <c r="L541" s="302">
        <f t="shared" si="204"/>
        <v>1.7302540669855277</v>
      </c>
      <c r="M541" s="236"/>
      <c r="N541" s="236"/>
    </row>
    <row r="542" spans="1:14" x14ac:dyDescent="0.2">
      <c r="A542" s="237" t="str">
        <f>name!E$10</f>
        <v>Sales and customer service occupations</v>
      </c>
      <c r="B542" s="302">
        <v>2.9675230227842699</v>
      </c>
      <c r="C542" s="302">
        <v>7.1333923888227257</v>
      </c>
      <c r="D542" s="302">
        <f t="shared" si="202"/>
        <v>10.100915411606996</v>
      </c>
      <c r="E542" s="303"/>
      <c r="F542" s="302">
        <v>2.3047607946305937</v>
      </c>
      <c r="G542" s="302">
        <v>6.157427973374177</v>
      </c>
      <c r="H542" s="302">
        <f t="shared" si="203"/>
        <v>8.4621887680047703</v>
      </c>
      <c r="I542" s="303"/>
      <c r="J542" s="302">
        <v>2.0409125905042944</v>
      </c>
      <c r="K542" s="302">
        <v>6.1672516247863962</v>
      </c>
      <c r="L542" s="302">
        <f t="shared" si="204"/>
        <v>8.2081642152906902</v>
      </c>
      <c r="M542" s="236"/>
      <c r="N542" s="236"/>
    </row>
    <row r="543" spans="1:14" x14ac:dyDescent="0.2">
      <c r="A543" s="237" t="str">
        <f>name!E$11</f>
        <v>Process, plant and machine operatives</v>
      </c>
      <c r="B543" s="302">
        <v>0.37523591722341526</v>
      </c>
      <c r="C543" s="302">
        <v>3.2639316850574454</v>
      </c>
      <c r="D543" s="302">
        <f t="shared" si="202"/>
        <v>3.6391676022808608</v>
      </c>
      <c r="E543" s="303"/>
      <c r="F543" s="302">
        <v>0.29344106850552532</v>
      </c>
      <c r="G543" s="302">
        <v>2.5123294749821397</v>
      </c>
      <c r="H543" s="302">
        <f t="shared" si="203"/>
        <v>2.805770543487665</v>
      </c>
      <c r="I543" s="303"/>
      <c r="J543" s="302">
        <v>0.57120390478827032</v>
      </c>
      <c r="K543" s="302">
        <v>2.8134693475493631</v>
      </c>
      <c r="L543" s="302">
        <f t="shared" si="204"/>
        <v>3.3846732523376333</v>
      </c>
      <c r="M543" s="236"/>
      <c r="N543" s="236"/>
    </row>
    <row r="544" spans="1:14" x14ac:dyDescent="0.2">
      <c r="A544" s="237" t="str">
        <f>name!E$12</f>
        <v>Elementary occupations</v>
      </c>
      <c r="B544" s="302">
        <v>0.815071082314058</v>
      </c>
      <c r="C544" s="302">
        <v>2.4237331841872147</v>
      </c>
      <c r="D544" s="302">
        <f t="shared" si="202"/>
        <v>3.2388042665012726</v>
      </c>
      <c r="E544" s="303"/>
      <c r="F544" s="302">
        <v>0.70203260721645488</v>
      </c>
      <c r="G544" s="302">
        <v>1.8565284992483126</v>
      </c>
      <c r="H544" s="302">
        <f t="shared" si="203"/>
        <v>2.5585611064647678</v>
      </c>
      <c r="I544" s="303"/>
      <c r="J544" s="302">
        <v>0.74919564212691447</v>
      </c>
      <c r="K544" s="302">
        <v>1.6198465691079551</v>
      </c>
      <c r="L544" s="302">
        <f t="shared" si="204"/>
        <v>2.3690422112348695</v>
      </c>
      <c r="M544" s="236"/>
      <c r="N544" s="236"/>
    </row>
    <row r="545" spans="1:14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2">
      <c r="A546" s="244" t="s">
        <v>32</v>
      </c>
      <c r="B546" s="311">
        <f>SUM(B536:B544)</f>
        <v>11.123999999952702</v>
      </c>
      <c r="C546" s="311">
        <f t="shared" ref="C546:D546" si="205">SUM(C536:C544)</f>
        <v>54.725000000209526</v>
      </c>
      <c r="D546" s="311">
        <f t="shared" si="205"/>
        <v>65.849000000162235</v>
      </c>
      <c r="E546" s="311"/>
      <c r="F546" s="311">
        <f t="shared" ref="F546:H546" si="206">SUM(F536:F544)</f>
        <v>10.070000000144596</v>
      </c>
      <c r="G546" s="311">
        <f t="shared" si="206"/>
        <v>47.644000000454355</v>
      </c>
      <c r="H546" s="311">
        <f t="shared" si="206"/>
        <v>57.714000000598951</v>
      </c>
      <c r="I546" s="311"/>
      <c r="J546" s="311">
        <f t="shared" ref="J546:L546" si="207">SUM(J536:J544)</f>
        <v>10.269999999852505</v>
      </c>
      <c r="K546" s="311">
        <f t="shared" si="207"/>
        <v>49.881000000689085</v>
      </c>
      <c r="L546" s="311">
        <f t="shared" si="207"/>
        <v>60.151000000541586</v>
      </c>
      <c r="M546" s="236"/>
      <c r="N546" s="236"/>
    </row>
    <row r="547" spans="1:14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2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2">
      <c r="A550" s="241" t="str">
        <f>name!A35</f>
        <v>Wholesale trade</v>
      </c>
      <c r="B550" s="372">
        <f>B$6</f>
        <v>2015</v>
      </c>
      <c r="C550" s="372"/>
      <c r="D550" s="372"/>
      <c r="E550" s="253"/>
      <c r="F550" s="372">
        <f>F533</f>
        <v>2020</v>
      </c>
      <c r="G550" s="372"/>
      <c r="H550" s="372"/>
      <c r="I550" s="253"/>
      <c r="J550" s="372">
        <f>J533</f>
        <v>2035</v>
      </c>
      <c r="K550" s="372"/>
      <c r="L550" s="372"/>
      <c r="M550" s="236"/>
      <c r="N550" s="236"/>
    </row>
    <row r="551" spans="1:14" x14ac:dyDescent="0.2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2">
      <c r="A553" s="237" t="str">
        <f>name!E$4</f>
        <v>Managers, directors and senior officials</v>
      </c>
      <c r="B553" s="302">
        <v>2.3472798117021481</v>
      </c>
      <c r="C553" s="302">
        <v>13.334702702106743</v>
      </c>
      <c r="D553" s="302">
        <f>SUM(B553:C553)</f>
        <v>15.68198251380889</v>
      </c>
      <c r="E553" s="303"/>
      <c r="F553" s="302">
        <v>3.0648052434930615</v>
      </c>
      <c r="G553" s="302">
        <v>15.323651290091711</v>
      </c>
      <c r="H553" s="302">
        <f>SUM(F553:G553)</f>
        <v>18.388456533584773</v>
      </c>
      <c r="I553" s="303"/>
      <c r="J553" s="302">
        <v>3.7839727129341729</v>
      </c>
      <c r="K553" s="302">
        <v>14.824317183464311</v>
      </c>
      <c r="L553" s="302">
        <f>SUM(J553:K553)</f>
        <v>18.608289896398485</v>
      </c>
      <c r="M553" s="236"/>
      <c r="N553" s="236"/>
    </row>
    <row r="554" spans="1:14" x14ac:dyDescent="0.2">
      <c r="A554" s="237" t="str">
        <f>name!E$5</f>
        <v>Professional occupations</v>
      </c>
      <c r="B554" s="302">
        <v>1.6595630105662647</v>
      </c>
      <c r="C554" s="302">
        <v>7.2710685418603562</v>
      </c>
      <c r="D554" s="302">
        <f t="shared" ref="D554:D561" si="208">SUM(B554:C554)</f>
        <v>8.9306315524266218</v>
      </c>
      <c r="E554" s="303"/>
      <c r="F554" s="302">
        <v>2.4376433602007723</v>
      </c>
      <c r="G554" s="302">
        <v>9.1681728501710804</v>
      </c>
      <c r="H554" s="302">
        <f t="shared" ref="H554:H561" si="209">SUM(F554:G554)</f>
        <v>11.605816210371852</v>
      </c>
      <c r="I554" s="303"/>
      <c r="J554" s="302">
        <v>3.3336773476995667</v>
      </c>
      <c r="K554" s="302">
        <v>10.432838586595379</v>
      </c>
      <c r="L554" s="302">
        <f t="shared" ref="L554:L561" si="210">SUM(J554:K554)</f>
        <v>13.766515934294945</v>
      </c>
      <c r="M554" s="236"/>
      <c r="N554" s="236"/>
    </row>
    <row r="555" spans="1:14" x14ac:dyDescent="0.2">
      <c r="A555" s="237" t="str">
        <f>name!E$6</f>
        <v>Associate professional occupations</v>
      </c>
      <c r="B555" s="302">
        <v>3.3337818920673143</v>
      </c>
      <c r="C555" s="302">
        <v>8.7946907782322015</v>
      </c>
      <c r="D555" s="302">
        <f t="shared" si="208"/>
        <v>12.128472670299516</v>
      </c>
      <c r="E555" s="303"/>
      <c r="F555" s="302">
        <v>3.9719076602937311</v>
      </c>
      <c r="G555" s="302">
        <v>9.7754100521947365</v>
      </c>
      <c r="H555" s="302">
        <f t="shared" si="209"/>
        <v>13.747317712488467</v>
      </c>
      <c r="I555" s="303"/>
      <c r="J555" s="302">
        <v>4.4448923028813292</v>
      </c>
      <c r="K555" s="302">
        <v>9.0124751233457321</v>
      </c>
      <c r="L555" s="302">
        <f t="shared" si="210"/>
        <v>13.457367426227062</v>
      </c>
      <c r="M555" s="236"/>
      <c r="N555" s="236"/>
    </row>
    <row r="556" spans="1:14" x14ac:dyDescent="0.2">
      <c r="A556" s="237" t="str">
        <f>name!E$7</f>
        <v>Administrative and secretarial occupations</v>
      </c>
      <c r="B556" s="302">
        <v>9.2444276634623233</v>
      </c>
      <c r="C556" s="302">
        <v>4.5164036454223169</v>
      </c>
      <c r="D556" s="302">
        <f t="shared" si="208"/>
        <v>13.76083130888464</v>
      </c>
      <c r="E556" s="303"/>
      <c r="F556" s="302">
        <v>8.4972849094170577</v>
      </c>
      <c r="G556" s="302">
        <v>4.816048085177246</v>
      </c>
      <c r="H556" s="302">
        <f t="shared" si="209"/>
        <v>13.313332994594305</v>
      </c>
      <c r="I556" s="303"/>
      <c r="J556" s="302">
        <v>7.076713591342509</v>
      </c>
      <c r="K556" s="302">
        <v>4.9341480339928605</v>
      </c>
      <c r="L556" s="302">
        <f t="shared" si="210"/>
        <v>12.010861625335369</v>
      </c>
      <c r="M556" s="236"/>
      <c r="N556" s="236"/>
    </row>
    <row r="557" spans="1:14" x14ac:dyDescent="0.2">
      <c r="A557" s="237" t="str">
        <f>name!E$8</f>
        <v>Skilled trades occupations</v>
      </c>
      <c r="B557" s="302">
        <v>0.45021645899071017</v>
      </c>
      <c r="C557" s="302">
        <v>7.0287826571661158</v>
      </c>
      <c r="D557" s="302">
        <f t="shared" si="208"/>
        <v>7.4789991161568263</v>
      </c>
      <c r="E557" s="303"/>
      <c r="F557" s="302">
        <v>0.40971246129710015</v>
      </c>
      <c r="G557" s="302">
        <v>5.66761220840558</v>
      </c>
      <c r="H557" s="302">
        <f t="shared" si="209"/>
        <v>6.0773246697026799</v>
      </c>
      <c r="I557" s="303"/>
      <c r="J557" s="302">
        <v>0.60194204403273821</v>
      </c>
      <c r="K557" s="302">
        <v>5.3056051896887997</v>
      </c>
      <c r="L557" s="302">
        <f t="shared" si="210"/>
        <v>5.9075472337215382</v>
      </c>
      <c r="M557" s="236"/>
      <c r="N557" s="236"/>
    </row>
    <row r="558" spans="1:14" x14ac:dyDescent="0.2">
      <c r="A558" s="237" t="str">
        <f>name!E$9</f>
        <v>Caring, leisure and other service occupations</v>
      </c>
      <c r="B558" s="302">
        <v>0.24287177945503449</v>
      </c>
      <c r="C558" s="302">
        <v>0.1582300003424329</v>
      </c>
      <c r="D558" s="302">
        <f t="shared" si="208"/>
        <v>0.40110177979746742</v>
      </c>
      <c r="E558" s="303"/>
      <c r="F558" s="302">
        <v>0.21513629260243522</v>
      </c>
      <c r="G558" s="302">
        <v>0.1615162188507617</v>
      </c>
      <c r="H558" s="302">
        <f t="shared" si="209"/>
        <v>0.37665251145319689</v>
      </c>
      <c r="I558" s="303"/>
      <c r="J558" s="302">
        <v>0.25394209333585199</v>
      </c>
      <c r="K558" s="302">
        <v>0.16981485311588823</v>
      </c>
      <c r="L558" s="302">
        <f t="shared" si="210"/>
        <v>0.42375694645174022</v>
      </c>
      <c r="M558" s="236"/>
      <c r="N558" s="236"/>
    </row>
    <row r="559" spans="1:14" x14ac:dyDescent="0.2">
      <c r="A559" s="237" t="str">
        <f>name!E$10</f>
        <v>Sales and customer service occupations</v>
      </c>
      <c r="B559" s="302">
        <v>4.2877767821759045</v>
      </c>
      <c r="C559" s="302">
        <v>5.4462703482687944</v>
      </c>
      <c r="D559" s="302">
        <f t="shared" si="208"/>
        <v>9.7340471304446989</v>
      </c>
      <c r="E559" s="303"/>
      <c r="F559" s="302">
        <v>3.4446054285773617</v>
      </c>
      <c r="G559" s="302">
        <v>4.788872611003204</v>
      </c>
      <c r="H559" s="302">
        <f t="shared" si="209"/>
        <v>8.2334780395805662</v>
      </c>
      <c r="I559" s="303"/>
      <c r="J559" s="302">
        <v>3.4032291916082702</v>
      </c>
      <c r="K559" s="302">
        <v>4.4514180226689257</v>
      </c>
      <c r="L559" s="302">
        <f t="shared" si="210"/>
        <v>7.8546472142771959</v>
      </c>
      <c r="M559" s="236"/>
      <c r="N559" s="236"/>
    </row>
    <row r="560" spans="1:14" x14ac:dyDescent="0.2">
      <c r="A560" s="237" t="str">
        <f>name!E$11</f>
        <v>Process, plant and machine operatives</v>
      </c>
      <c r="B560" s="302">
        <v>2.5177493663793267</v>
      </c>
      <c r="C560" s="302">
        <v>10.725440041993338</v>
      </c>
      <c r="D560" s="302">
        <f t="shared" si="208"/>
        <v>13.243189408372665</v>
      </c>
      <c r="E560" s="303"/>
      <c r="F560" s="302">
        <v>2.1492964683504594</v>
      </c>
      <c r="G560" s="302">
        <v>8.6408709959151047</v>
      </c>
      <c r="H560" s="302">
        <f t="shared" si="209"/>
        <v>10.790167464265565</v>
      </c>
      <c r="I560" s="303"/>
      <c r="J560" s="302">
        <v>2.8906331053589782</v>
      </c>
      <c r="K560" s="302">
        <v>8.5689010944731177</v>
      </c>
      <c r="L560" s="302">
        <f t="shared" si="210"/>
        <v>11.459534199832095</v>
      </c>
      <c r="M560" s="236"/>
      <c r="N560" s="236"/>
    </row>
    <row r="561" spans="1:14" x14ac:dyDescent="0.2">
      <c r="A561" s="237" t="str">
        <f>name!E$12</f>
        <v>Elementary occupations</v>
      </c>
      <c r="B561" s="302">
        <v>4.1073332349085501</v>
      </c>
      <c r="C561" s="302">
        <v>7.9904112848929572</v>
      </c>
      <c r="D561" s="302">
        <f t="shared" si="208"/>
        <v>12.097744519801507</v>
      </c>
      <c r="E561" s="303"/>
      <c r="F561" s="302">
        <v>2.7586081759443997</v>
      </c>
      <c r="G561" s="302">
        <v>5.8038456888154624</v>
      </c>
      <c r="H561" s="302">
        <f t="shared" si="209"/>
        <v>8.5624538647598616</v>
      </c>
      <c r="I561" s="303"/>
      <c r="J561" s="302">
        <v>2.9659976104082251</v>
      </c>
      <c r="K561" s="302">
        <v>3.4784819134299565</v>
      </c>
      <c r="L561" s="302">
        <f t="shared" si="210"/>
        <v>6.4444795238381811</v>
      </c>
      <c r="M561" s="236"/>
      <c r="N561" s="236"/>
    </row>
    <row r="562" spans="1:14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2">
      <c r="A563" s="244" t="s">
        <v>32</v>
      </c>
      <c r="B563" s="311">
        <f>SUM(B553:B561)</f>
        <v>28.190999999707572</v>
      </c>
      <c r="C563" s="311">
        <f t="shared" ref="C563:D563" si="211">SUM(C553:C561)</f>
        <v>65.26600000028526</v>
      </c>
      <c r="D563" s="311">
        <f t="shared" si="211"/>
        <v>93.456999999992817</v>
      </c>
      <c r="E563" s="311"/>
      <c r="F563" s="311">
        <f t="shared" ref="F563:H563" si="212">SUM(F553:F561)</f>
        <v>26.949000000176376</v>
      </c>
      <c r="G563" s="311">
        <f t="shared" si="212"/>
        <v>64.14600000062488</v>
      </c>
      <c r="H563" s="311">
        <f t="shared" si="212"/>
        <v>91.095000000801264</v>
      </c>
      <c r="I563" s="311"/>
      <c r="J563" s="311">
        <f t="shared" ref="J563:L563" si="213">SUM(J553:J561)</f>
        <v>28.754999999601637</v>
      </c>
      <c r="K563" s="311">
        <f t="shared" si="213"/>
        <v>61.178000000774972</v>
      </c>
      <c r="L563" s="311">
        <f t="shared" si="213"/>
        <v>89.933000000376609</v>
      </c>
      <c r="M563" s="236"/>
      <c r="N563" s="236"/>
    </row>
    <row r="564" spans="1:14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2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2">
      <c r="A567" s="241" t="str">
        <f>name!A36</f>
        <v>Retail trade</v>
      </c>
      <c r="B567" s="372">
        <f>B$6</f>
        <v>2015</v>
      </c>
      <c r="C567" s="372"/>
      <c r="D567" s="372"/>
      <c r="E567" s="253"/>
      <c r="F567" s="372">
        <f>F550</f>
        <v>2020</v>
      </c>
      <c r="G567" s="372"/>
      <c r="H567" s="372"/>
      <c r="I567" s="253"/>
      <c r="J567" s="372">
        <f>J550</f>
        <v>2035</v>
      </c>
      <c r="K567" s="372"/>
      <c r="L567" s="372"/>
      <c r="M567" s="236"/>
      <c r="N567" s="236"/>
    </row>
    <row r="568" spans="1:14" x14ac:dyDescent="0.2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2">
      <c r="A570" s="237" t="str">
        <f>name!E$4</f>
        <v>Managers, directors and senior officials</v>
      </c>
      <c r="B570" s="302">
        <v>12.141481338679784</v>
      </c>
      <c r="C570" s="302">
        <v>15.905616375796821</v>
      </c>
      <c r="D570" s="302">
        <f>SUM(B570:C570)</f>
        <v>28.047097714476607</v>
      </c>
      <c r="E570" s="303"/>
      <c r="F570" s="302">
        <v>18.017485230425279</v>
      </c>
      <c r="G570" s="302">
        <v>20.598623733124452</v>
      </c>
      <c r="H570" s="302">
        <f>SUM(F570:G570)</f>
        <v>38.616108963549735</v>
      </c>
      <c r="I570" s="303"/>
      <c r="J570" s="302">
        <v>18.859273704112969</v>
      </c>
      <c r="K570" s="302">
        <v>24.696936185483914</v>
      </c>
      <c r="L570" s="302">
        <f>SUM(J570:K570)</f>
        <v>43.556209889596886</v>
      </c>
      <c r="M570" s="236"/>
      <c r="N570" s="236"/>
    </row>
    <row r="571" spans="1:14" x14ac:dyDescent="0.2">
      <c r="A571" s="237" t="str">
        <f>name!E$5</f>
        <v>Professional occupations</v>
      </c>
      <c r="B571" s="302">
        <v>8.6004658173271036</v>
      </c>
      <c r="C571" s="302">
        <v>8.8674955670462214</v>
      </c>
      <c r="D571" s="302">
        <f t="shared" ref="D571:D578" si="214">SUM(B571:C571)</f>
        <v>17.467961384373325</v>
      </c>
      <c r="E571" s="303"/>
      <c r="F571" s="302">
        <v>12.861560996328175</v>
      </c>
      <c r="G571" s="302">
        <v>12.77935826286237</v>
      </c>
      <c r="H571" s="302">
        <f t="shared" ref="H571:H578" si="215">SUM(F571:G571)</f>
        <v>25.640919259190547</v>
      </c>
      <c r="I571" s="303"/>
      <c r="J571" s="302">
        <v>17.02691491875995</v>
      </c>
      <c r="K571" s="302">
        <v>16.766754532981665</v>
      </c>
      <c r="L571" s="302">
        <f t="shared" ref="L571:L578" si="216">SUM(J571:K571)</f>
        <v>33.793669451741614</v>
      </c>
      <c r="M571" s="236"/>
      <c r="N571" s="236"/>
    </row>
    <row r="572" spans="1:14" x14ac:dyDescent="0.2">
      <c r="A572" s="237" t="str">
        <f>name!E$6</f>
        <v>Associate professional occupations</v>
      </c>
      <c r="B572" s="302">
        <v>7.9303305535093731</v>
      </c>
      <c r="C572" s="302">
        <v>7.6126223409336964</v>
      </c>
      <c r="D572" s="302">
        <f t="shared" si="214"/>
        <v>15.542952894443069</v>
      </c>
      <c r="E572" s="303"/>
      <c r="F572" s="302">
        <v>10.52153750981463</v>
      </c>
      <c r="G572" s="302">
        <v>9.9713084905303937</v>
      </c>
      <c r="H572" s="302">
        <f t="shared" si="215"/>
        <v>20.492846000345025</v>
      </c>
      <c r="I572" s="303"/>
      <c r="J572" s="302">
        <v>11.904059290753279</v>
      </c>
      <c r="K572" s="302">
        <v>10.552073526845776</v>
      </c>
      <c r="L572" s="302">
        <f t="shared" si="216"/>
        <v>22.456132817599055</v>
      </c>
      <c r="M572" s="236"/>
      <c r="N572" s="236"/>
    </row>
    <row r="573" spans="1:14" x14ac:dyDescent="0.2">
      <c r="A573" s="237" t="str">
        <f>name!E$7</f>
        <v>Administrative and secretarial occupations</v>
      </c>
      <c r="B573" s="302">
        <v>11.381600096938554</v>
      </c>
      <c r="C573" s="302">
        <v>4.5204698800180978</v>
      </c>
      <c r="D573" s="302">
        <f t="shared" si="214"/>
        <v>15.902069976956652</v>
      </c>
      <c r="E573" s="303"/>
      <c r="F573" s="302">
        <v>13.157623033267933</v>
      </c>
      <c r="G573" s="302">
        <v>5.6829848661135003</v>
      </c>
      <c r="H573" s="302">
        <f t="shared" si="215"/>
        <v>18.840607899381432</v>
      </c>
      <c r="I573" s="303"/>
      <c r="J573" s="302">
        <v>19.207909173281731</v>
      </c>
      <c r="K573" s="302">
        <v>6.8159710266705416</v>
      </c>
      <c r="L573" s="302">
        <f t="shared" si="216"/>
        <v>26.023880199952274</v>
      </c>
      <c r="M573" s="236"/>
      <c r="N573" s="236"/>
    </row>
    <row r="574" spans="1:14" x14ac:dyDescent="0.2">
      <c r="A574" s="237" t="str">
        <f>name!E$8</f>
        <v>Skilled trades occupations</v>
      </c>
      <c r="B574" s="302">
        <v>3.9768937984472861</v>
      </c>
      <c r="C574" s="302">
        <v>8.9466603604728814</v>
      </c>
      <c r="D574" s="302">
        <f t="shared" si="214"/>
        <v>12.923554158920167</v>
      </c>
      <c r="E574" s="303"/>
      <c r="F574" s="302">
        <v>4.2732713876098591</v>
      </c>
      <c r="G574" s="302">
        <v>8.0021933078701029</v>
      </c>
      <c r="H574" s="302">
        <f t="shared" si="215"/>
        <v>12.275464695479961</v>
      </c>
      <c r="I574" s="303"/>
      <c r="J574" s="302">
        <v>3.8308778301012327</v>
      </c>
      <c r="K574" s="302">
        <v>7.9974120507955639</v>
      </c>
      <c r="L574" s="302">
        <f t="shared" si="216"/>
        <v>11.828289880896797</v>
      </c>
      <c r="M574" s="236"/>
      <c r="N574" s="236"/>
    </row>
    <row r="575" spans="1:14" x14ac:dyDescent="0.2">
      <c r="A575" s="237" t="str">
        <f>name!E$9</f>
        <v>Caring, leisure and other service occupations</v>
      </c>
      <c r="B575" s="302">
        <v>1.1586826139511384</v>
      </c>
      <c r="C575" s="302">
        <v>0.56013394349829593</v>
      </c>
      <c r="D575" s="302">
        <f t="shared" si="214"/>
        <v>1.7188165574494343</v>
      </c>
      <c r="E575" s="303"/>
      <c r="F575" s="302">
        <v>1.3017805001517806</v>
      </c>
      <c r="G575" s="302">
        <v>0.67364777767943729</v>
      </c>
      <c r="H575" s="302">
        <f t="shared" si="215"/>
        <v>1.975428277831218</v>
      </c>
      <c r="I575" s="303"/>
      <c r="J575" s="302">
        <v>1.4110099499490318</v>
      </c>
      <c r="K575" s="302">
        <v>0.89633274146674036</v>
      </c>
      <c r="L575" s="302">
        <f t="shared" si="216"/>
        <v>2.307342691415772</v>
      </c>
      <c r="M575" s="236"/>
      <c r="N575" s="236"/>
    </row>
    <row r="576" spans="1:14" x14ac:dyDescent="0.2">
      <c r="A576" s="237" t="str">
        <f>name!E$10</f>
        <v>Sales and customer service occupations</v>
      </c>
      <c r="B576" s="302">
        <v>100.17589045319559</v>
      </c>
      <c r="C576" s="302">
        <v>42.87243475885623</v>
      </c>
      <c r="D576" s="302">
        <f t="shared" si="214"/>
        <v>143.04832521205182</v>
      </c>
      <c r="E576" s="303"/>
      <c r="F576" s="302">
        <v>94.761318931400851</v>
      </c>
      <c r="G576" s="302">
        <v>43.748297548746365</v>
      </c>
      <c r="H576" s="302">
        <f t="shared" si="215"/>
        <v>138.5096164801472</v>
      </c>
      <c r="I576" s="303"/>
      <c r="J576" s="302">
        <v>78.784207968517563</v>
      </c>
      <c r="K576" s="302">
        <v>41.501687721647265</v>
      </c>
      <c r="L576" s="302">
        <f t="shared" si="216"/>
        <v>120.28589569016484</v>
      </c>
      <c r="M576" s="236"/>
      <c r="N576" s="236"/>
    </row>
    <row r="577" spans="1:14" x14ac:dyDescent="0.2">
      <c r="A577" s="237" t="str">
        <f>name!E$11</f>
        <v>Process, plant and machine operatives</v>
      </c>
      <c r="B577" s="302">
        <v>1.5275053168559842</v>
      </c>
      <c r="C577" s="302">
        <v>5.4232866637871426</v>
      </c>
      <c r="D577" s="302">
        <f t="shared" si="214"/>
        <v>6.9507919806431264</v>
      </c>
      <c r="E577" s="303"/>
      <c r="F577" s="302">
        <v>1.4588110366210867</v>
      </c>
      <c r="G577" s="302">
        <v>5.195784852320898</v>
      </c>
      <c r="H577" s="302">
        <f t="shared" si="215"/>
        <v>6.6545958889419845</v>
      </c>
      <c r="I577" s="303"/>
      <c r="J577" s="302">
        <v>2.354794782893554</v>
      </c>
      <c r="K577" s="302">
        <v>5.6996127573499376</v>
      </c>
      <c r="L577" s="302">
        <f t="shared" si="216"/>
        <v>8.054407540243492</v>
      </c>
      <c r="M577" s="236"/>
      <c r="N577" s="236"/>
    </row>
    <row r="578" spans="1:14" x14ac:dyDescent="0.2">
      <c r="A578" s="237" t="str">
        <f>name!E$12</f>
        <v>Elementary occupations</v>
      </c>
      <c r="B578" s="302">
        <v>11.529150012824925</v>
      </c>
      <c r="C578" s="302">
        <v>14.453280110613921</v>
      </c>
      <c r="D578" s="302">
        <f t="shared" si="214"/>
        <v>25.982430123438846</v>
      </c>
      <c r="E578" s="303"/>
      <c r="F578" s="302">
        <v>10.457611379505202</v>
      </c>
      <c r="G578" s="302">
        <v>12.576801161742186</v>
      </c>
      <c r="H578" s="302">
        <f t="shared" si="215"/>
        <v>23.034412541247388</v>
      </c>
      <c r="I578" s="303"/>
      <c r="J578" s="302">
        <v>10.294952380348006</v>
      </c>
      <c r="K578" s="302">
        <v>10.818219458249427</v>
      </c>
      <c r="L578" s="302">
        <f t="shared" si="216"/>
        <v>21.113171838597431</v>
      </c>
      <c r="M578" s="236"/>
      <c r="N578" s="236"/>
    </row>
    <row r="579" spans="1:14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2">
      <c r="A580" s="244" t="s">
        <v>32</v>
      </c>
      <c r="B580" s="311">
        <f>SUM(B570:B578)</f>
        <v>158.42200000172971</v>
      </c>
      <c r="C580" s="311">
        <f t="shared" ref="C580:D580" si="217">SUM(C570:C578)</f>
        <v>109.1620000010233</v>
      </c>
      <c r="D580" s="311">
        <f t="shared" si="217"/>
        <v>267.58400000275304</v>
      </c>
      <c r="E580" s="311"/>
      <c r="F580" s="311">
        <f t="shared" ref="F580:H580" si="218">SUM(F570:F578)</f>
        <v>166.81100000512481</v>
      </c>
      <c r="G580" s="311">
        <f t="shared" si="218"/>
        <v>119.2290000009897</v>
      </c>
      <c r="H580" s="311">
        <f t="shared" si="218"/>
        <v>286.0400000061145</v>
      </c>
      <c r="I580" s="311"/>
      <c r="J580" s="311">
        <f t="shared" ref="J580:L580" si="219">SUM(J570:J578)</f>
        <v>163.67399999871731</v>
      </c>
      <c r="K580" s="311">
        <f t="shared" si="219"/>
        <v>125.74500000149082</v>
      </c>
      <c r="L580" s="311">
        <f t="shared" si="219"/>
        <v>289.4190000002082</v>
      </c>
      <c r="M580" s="236"/>
      <c r="N580" s="236"/>
    </row>
    <row r="581" spans="1:14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2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2">
      <c r="A584" s="241" t="str">
        <f>name!A37</f>
        <v>Land transport, etc</v>
      </c>
      <c r="B584" s="372">
        <f>B$6</f>
        <v>2015</v>
      </c>
      <c r="C584" s="372"/>
      <c r="D584" s="372"/>
      <c r="E584" s="253"/>
      <c r="F584" s="372">
        <f>F567</f>
        <v>2020</v>
      </c>
      <c r="G584" s="372"/>
      <c r="H584" s="372"/>
      <c r="I584" s="253"/>
      <c r="J584" s="372">
        <f>J567</f>
        <v>2035</v>
      </c>
      <c r="K584" s="372"/>
      <c r="L584" s="372"/>
      <c r="M584" s="236"/>
      <c r="N584" s="236"/>
    </row>
    <row r="585" spans="1:14" x14ac:dyDescent="0.2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2">
      <c r="A587" s="237" t="str">
        <f>name!E$4</f>
        <v>Managers, directors and senior officials</v>
      </c>
      <c r="B587" s="302">
        <v>0.49200394587368645</v>
      </c>
      <c r="C587" s="302">
        <v>2.8401568465748519</v>
      </c>
      <c r="D587" s="302">
        <f>SUM(B587:C587)</f>
        <v>3.3321607924485384</v>
      </c>
      <c r="E587" s="303"/>
      <c r="F587" s="302">
        <v>0.68977433711905978</v>
      </c>
      <c r="G587" s="302">
        <v>3.1339395546343702</v>
      </c>
      <c r="H587" s="302">
        <f>SUM(F587:G587)</f>
        <v>3.8237138917534299</v>
      </c>
      <c r="I587" s="303"/>
      <c r="J587" s="302">
        <v>0.84003627706314288</v>
      </c>
      <c r="K587" s="302">
        <v>3.3543545198359763</v>
      </c>
      <c r="L587" s="302">
        <f>SUM(J587:K587)</f>
        <v>4.1943907968991194</v>
      </c>
      <c r="M587" s="236"/>
      <c r="N587" s="236"/>
    </row>
    <row r="588" spans="1:14" x14ac:dyDescent="0.2">
      <c r="A588" s="237" t="str">
        <f>name!E$5</f>
        <v>Professional occupations</v>
      </c>
      <c r="B588" s="302">
        <v>0.38276500704396627</v>
      </c>
      <c r="C588" s="302">
        <v>1.776576431930557</v>
      </c>
      <c r="D588" s="302">
        <f t="shared" ref="D588:D595" si="220">SUM(B588:C588)</f>
        <v>2.1593414389745234</v>
      </c>
      <c r="E588" s="303"/>
      <c r="F588" s="302">
        <v>0.63167188207380109</v>
      </c>
      <c r="G588" s="302">
        <v>2.2154313068932887</v>
      </c>
      <c r="H588" s="302">
        <f t="shared" ref="H588:H595" si="221">SUM(F588:G588)</f>
        <v>2.8471031889670897</v>
      </c>
      <c r="I588" s="303"/>
      <c r="J588" s="302">
        <v>0.78497978574819116</v>
      </c>
      <c r="K588" s="302">
        <v>2.4996141391212743</v>
      </c>
      <c r="L588" s="302">
        <f t="shared" ref="L588:L595" si="222">SUM(J588:K588)</f>
        <v>3.2845939248694656</v>
      </c>
      <c r="M588" s="236"/>
      <c r="N588" s="236"/>
    </row>
    <row r="589" spans="1:14" x14ac:dyDescent="0.2">
      <c r="A589" s="237" t="str">
        <f>name!E$6</f>
        <v>Associate professional occupations</v>
      </c>
      <c r="B589" s="302">
        <v>0.49763853607234854</v>
      </c>
      <c r="C589" s="302">
        <v>2.0922895112766207</v>
      </c>
      <c r="D589" s="302">
        <f t="shared" si="220"/>
        <v>2.5899280473489692</v>
      </c>
      <c r="E589" s="303"/>
      <c r="F589" s="302">
        <v>0.6808212581806915</v>
      </c>
      <c r="G589" s="302">
        <v>2.4276007238522523</v>
      </c>
      <c r="H589" s="302">
        <f t="shared" si="221"/>
        <v>3.1084219820329437</v>
      </c>
      <c r="I589" s="303"/>
      <c r="J589" s="302">
        <v>0.7104939078509116</v>
      </c>
      <c r="K589" s="302">
        <v>2.0556969345395188</v>
      </c>
      <c r="L589" s="302">
        <f t="shared" si="222"/>
        <v>2.7661908423904302</v>
      </c>
      <c r="M589" s="236"/>
      <c r="N589" s="236"/>
    </row>
    <row r="590" spans="1:14" x14ac:dyDescent="0.2">
      <c r="A590" s="237" t="str">
        <f>name!E$7</f>
        <v>Administrative and secretarial occupations</v>
      </c>
      <c r="B590" s="302">
        <v>2.7341552648203744</v>
      </c>
      <c r="C590" s="302">
        <v>2.5099505638545847</v>
      </c>
      <c r="D590" s="302">
        <f t="shared" si="220"/>
        <v>5.2441058286749591</v>
      </c>
      <c r="E590" s="303"/>
      <c r="F590" s="302">
        <v>3.0074146053607054</v>
      </c>
      <c r="G590" s="302">
        <v>2.9075675099608569</v>
      </c>
      <c r="H590" s="302">
        <f t="shared" si="221"/>
        <v>5.9149821153215623</v>
      </c>
      <c r="I590" s="303"/>
      <c r="J590" s="302">
        <v>2.4659145548432595</v>
      </c>
      <c r="K590" s="302">
        <v>3.0611915706813195</v>
      </c>
      <c r="L590" s="302">
        <f t="shared" si="222"/>
        <v>5.527106125524579</v>
      </c>
      <c r="M590" s="236"/>
      <c r="N590" s="236"/>
    </row>
    <row r="591" spans="1:14" x14ac:dyDescent="0.2">
      <c r="A591" s="237" t="str">
        <f>name!E$8</f>
        <v>Skilled trades occupations</v>
      </c>
      <c r="B591" s="302">
        <v>6.7013607171125728E-2</v>
      </c>
      <c r="C591" s="302">
        <v>4.9968345386559614</v>
      </c>
      <c r="D591" s="302">
        <f t="shared" si="220"/>
        <v>5.0638481458270874</v>
      </c>
      <c r="E591" s="303"/>
      <c r="F591" s="302">
        <v>7.6450277229924257E-2</v>
      </c>
      <c r="G591" s="302">
        <v>3.7969138745525135</v>
      </c>
      <c r="H591" s="302">
        <f t="shared" si="221"/>
        <v>3.8733641517824378</v>
      </c>
      <c r="I591" s="303"/>
      <c r="J591" s="302">
        <v>0.14567725985268248</v>
      </c>
      <c r="K591" s="302">
        <v>3.0376443737640022</v>
      </c>
      <c r="L591" s="302">
        <f t="shared" si="222"/>
        <v>3.1833216336166847</v>
      </c>
      <c r="M591" s="236"/>
      <c r="N591" s="236"/>
    </row>
    <row r="592" spans="1:14" x14ac:dyDescent="0.2">
      <c r="A592" s="237" t="str">
        <f>name!E$9</f>
        <v>Caring, leisure and other service occupations</v>
      </c>
      <c r="B592" s="302">
        <v>0.73431120699522101</v>
      </c>
      <c r="C592" s="302">
        <v>0.78463977657723682</v>
      </c>
      <c r="D592" s="302">
        <f t="shared" si="220"/>
        <v>1.5189509835724579</v>
      </c>
      <c r="E592" s="303"/>
      <c r="F592" s="302">
        <v>0.74848003443480426</v>
      </c>
      <c r="G592" s="302">
        <v>0.77638977924485997</v>
      </c>
      <c r="H592" s="302">
        <f t="shared" si="221"/>
        <v>1.5248698136796643</v>
      </c>
      <c r="I592" s="303"/>
      <c r="J592" s="302">
        <v>0.7293498745832705</v>
      </c>
      <c r="K592" s="302">
        <v>0.75190859871987048</v>
      </c>
      <c r="L592" s="302">
        <f t="shared" si="222"/>
        <v>1.4812584733031411</v>
      </c>
      <c r="M592" s="236"/>
      <c r="N592" s="236"/>
    </row>
    <row r="593" spans="1:14" x14ac:dyDescent="0.2">
      <c r="A593" s="237" t="str">
        <f>name!E$10</f>
        <v>Sales and customer service occupations</v>
      </c>
      <c r="B593" s="302">
        <v>0.37869786574325587</v>
      </c>
      <c r="C593" s="302">
        <v>0.48699578180934072</v>
      </c>
      <c r="D593" s="302">
        <f t="shared" si="220"/>
        <v>0.86569364755259659</v>
      </c>
      <c r="E593" s="303"/>
      <c r="F593" s="302">
        <v>0.42463642497375875</v>
      </c>
      <c r="G593" s="302">
        <v>0.46824995764523875</v>
      </c>
      <c r="H593" s="302">
        <f t="shared" si="221"/>
        <v>0.89288638261899744</v>
      </c>
      <c r="I593" s="303"/>
      <c r="J593" s="302">
        <v>0.4607851237450275</v>
      </c>
      <c r="K593" s="302">
        <v>0.56498853940928506</v>
      </c>
      <c r="L593" s="302">
        <f t="shared" si="222"/>
        <v>1.0257736631543126</v>
      </c>
      <c r="M593" s="236"/>
      <c r="N593" s="236"/>
    </row>
    <row r="594" spans="1:14" x14ac:dyDescent="0.2">
      <c r="A594" s="237" t="str">
        <f>name!E$11</f>
        <v>Process, plant and machine operatives</v>
      </c>
      <c r="B594" s="302">
        <v>1.1685668814501762</v>
      </c>
      <c r="C594" s="302">
        <v>24.958744122652156</v>
      </c>
      <c r="D594" s="302">
        <f t="shared" si="220"/>
        <v>26.127311004102332</v>
      </c>
      <c r="E594" s="303"/>
      <c r="F594" s="302">
        <v>1.0810793014800293</v>
      </c>
      <c r="G594" s="302">
        <v>22.895901095598308</v>
      </c>
      <c r="H594" s="302">
        <f t="shared" si="221"/>
        <v>23.976980397078336</v>
      </c>
      <c r="I594" s="303"/>
      <c r="J594" s="302">
        <v>1.7857372426582252</v>
      </c>
      <c r="K594" s="302">
        <v>22.649470440345972</v>
      </c>
      <c r="L594" s="302">
        <f t="shared" si="222"/>
        <v>24.435207683004197</v>
      </c>
      <c r="M594" s="236"/>
      <c r="N594" s="236"/>
    </row>
    <row r="595" spans="1:14" x14ac:dyDescent="0.2">
      <c r="A595" s="237" t="str">
        <f>name!E$12</f>
        <v>Elementary occupations</v>
      </c>
      <c r="B595" s="302">
        <v>0.44884768476288817</v>
      </c>
      <c r="C595" s="302">
        <v>2.2978124268513684</v>
      </c>
      <c r="D595" s="302">
        <f t="shared" si="220"/>
        <v>2.7466601116142568</v>
      </c>
      <c r="E595" s="303"/>
      <c r="F595" s="302">
        <v>0.38867187918459251</v>
      </c>
      <c r="G595" s="302">
        <v>1.7910061982873053</v>
      </c>
      <c r="H595" s="302">
        <f t="shared" si="221"/>
        <v>2.1796780774718978</v>
      </c>
      <c r="I595" s="303"/>
      <c r="J595" s="302">
        <v>0.39502597356857072</v>
      </c>
      <c r="K595" s="302">
        <v>1.2931308847349263</v>
      </c>
      <c r="L595" s="302">
        <f t="shared" si="222"/>
        <v>1.6881568583034969</v>
      </c>
      <c r="M595" s="236"/>
      <c r="N595" s="236"/>
    </row>
    <row r="596" spans="1:14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2">
      <c r="A597" s="244" t="s">
        <v>32</v>
      </c>
      <c r="B597" s="311">
        <f>SUM(B587:B595)</f>
        <v>6.9039999999330428</v>
      </c>
      <c r="C597" s="311">
        <f t="shared" ref="C597:D597" si="223">SUM(C587:C595)</f>
        <v>42.744000000182673</v>
      </c>
      <c r="D597" s="311">
        <f t="shared" si="223"/>
        <v>49.648000000115722</v>
      </c>
      <c r="E597" s="311"/>
      <c r="F597" s="311">
        <f t="shared" ref="F597:H597" si="224">SUM(F587:F595)</f>
        <v>7.7290000000373666</v>
      </c>
      <c r="G597" s="311">
        <f t="shared" si="224"/>
        <v>40.413000000668994</v>
      </c>
      <c r="H597" s="311">
        <f t="shared" si="224"/>
        <v>48.142000000706361</v>
      </c>
      <c r="I597" s="311"/>
      <c r="J597" s="311">
        <f t="shared" ref="J597:L597" si="225">SUM(J587:J595)</f>
        <v>8.3179999999132814</v>
      </c>
      <c r="K597" s="311">
        <f t="shared" si="225"/>
        <v>39.268000001152146</v>
      </c>
      <c r="L597" s="311">
        <f t="shared" si="225"/>
        <v>47.586000001065429</v>
      </c>
      <c r="M597" s="236"/>
      <c r="N597" s="236"/>
    </row>
    <row r="598" spans="1:14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2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2">
      <c r="A601" s="241" t="str">
        <f>name!A38</f>
        <v>Water transport</v>
      </c>
      <c r="B601" s="372">
        <f>B$6</f>
        <v>2015</v>
      </c>
      <c r="C601" s="372"/>
      <c r="D601" s="372"/>
      <c r="E601" s="253"/>
      <c r="F601" s="372">
        <f>F584</f>
        <v>2020</v>
      </c>
      <c r="G601" s="372"/>
      <c r="H601" s="372"/>
      <c r="I601" s="253"/>
      <c r="J601" s="372">
        <f>J584</f>
        <v>2035</v>
      </c>
      <c r="K601" s="372"/>
      <c r="L601" s="372"/>
      <c r="M601" s="236"/>
      <c r="N601" s="236"/>
    </row>
    <row r="602" spans="1:14" x14ac:dyDescent="0.2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2">
      <c r="A604" s="237" t="str">
        <f>name!E$4</f>
        <v>Managers, directors and senior officials</v>
      </c>
      <c r="B604" s="302">
        <v>5.4668011002190757E-2</v>
      </c>
      <c r="C604" s="302">
        <v>0.10993690027302429</v>
      </c>
      <c r="D604" s="302">
        <f>SUM(B604:C604)</f>
        <v>0.16460491127521504</v>
      </c>
      <c r="E604" s="303"/>
      <c r="F604" s="302">
        <v>3.2653274483454259E-2</v>
      </c>
      <c r="G604" s="302">
        <v>7.3640379754858265E-2</v>
      </c>
      <c r="H604" s="302">
        <f>SUM(F604:G604)</f>
        <v>0.10629365423831252</v>
      </c>
      <c r="I604" s="303"/>
      <c r="J604" s="302">
        <v>2.8602312888636863E-2</v>
      </c>
      <c r="K604" s="302">
        <v>5.5062794755235976E-2</v>
      </c>
      <c r="L604" s="302">
        <f>SUM(J604:K604)</f>
        <v>8.3665107643872832E-2</v>
      </c>
      <c r="M604" s="236"/>
      <c r="N604" s="236"/>
    </row>
    <row r="605" spans="1:14" x14ac:dyDescent="0.2">
      <c r="A605" s="237" t="str">
        <f>name!E$5</f>
        <v>Professional occupations</v>
      </c>
      <c r="B605" s="302">
        <v>5.2996258921445091E-2</v>
      </c>
      <c r="C605" s="302">
        <v>0.15358685817312323</v>
      </c>
      <c r="D605" s="302">
        <f t="shared" ref="D605:D612" si="226">SUM(B605:C605)</f>
        <v>0.20658311709456834</v>
      </c>
      <c r="E605" s="303"/>
      <c r="F605" s="302">
        <v>3.568332643881135E-2</v>
      </c>
      <c r="G605" s="302">
        <v>9.0047455832888312E-2</v>
      </c>
      <c r="H605" s="302">
        <f t="shared" ref="H605:H612" si="227">SUM(F605:G605)</f>
        <v>0.12573078227169965</v>
      </c>
      <c r="I605" s="303"/>
      <c r="J605" s="302">
        <v>3.0733257602942942E-2</v>
      </c>
      <c r="K605" s="302">
        <v>7.7742871770135419E-2</v>
      </c>
      <c r="L605" s="302">
        <f t="shared" ref="L605:L612" si="228">SUM(J605:K605)</f>
        <v>0.10847612937307836</v>
      </c>
      <c r="M605" s="236"/>
      <c r="N605" s="236"/>
    </row>
    <row r="606" spans="1:14" x14ac:dyDescent="0.2">
      <c r="A606" s="237" t="str">
        <f>name!E$6</f>
        <v>Associate professional occupations</v>
      </c>
      <c r="B606" s="302">
        <v>5.7255642581965943E-2</v>
      </c>
      <c r="C606" s="302">
        <v>0.21025450565150308</v>
      </c>
      <c r="D606" s="302">
        <f t="shared" si="226"/>
        <v>0.26751014823346903</v>
      </c>
      <c r="E606" s="303"/>
      <c r="F606" s="302">
        <v>3.0815435753763235E-2</v>
      </c>
      <c r="G606" s="302">
        <v>0.11462455808226692</v>
      </c>
      <c r="H606" s="302">
        <f t="shared" si="227"/>
        <v>0.14543999383603015</v>
      </c>
      <c r="I606" s="303"/>
      <c r="J606" s="302">
        <v>2.2999176882589845E-2</v>
      </c>
      <c r="K606" s="302">
        <v>7.7317732339058642E-2</v>
      </c>
      <c r="L606" s="302">
        <f t="shared" si="228"/>
        <v>0.10031690922164849</v>
      </c>
      <c r="M606" s="236"/>
      <c r="N606" s="236"/>
    </row>
    <row r="607" spans="1:14" x14ac:dyDescent="0.2">
      <c r="A607" s="237" t="str">
        <f>name!E$7</f>
        <v>Administrative and secretarial occupations</v>
      </c>
      <c r="B607" s="302">
        <v>0.21342823453161203</v>
      </c>
      <c r="C607" s="302">
        <v>4.8940720615901441E-2</v>
      </c>
      <c r="D607" s="302">
        <f t="shared" si="226"/>
        <v>0.26236895514751346</v>
      </c>
      <c r="E607" s="303"/>
      <c r="F607" s="302">
        <v>0.10166512939578348</v>
      </c>
      <c r="G607" s="302">
        <v>2.466650791566188E-2</v>
      </c>
      <c r="H607" s="302">
        <f t="shared" si="227"/>
        <v>0.12633163731144537</v>
      </c>
      <c r="I607" s="303"/>
      <c r="J607" s="302">
        <v>5.7017194280519927E-2</v>
      </c>
      <c r="K607" s="302">
        <v>1.6703605991835825E-2</v>
      </c>
      <c r="L607" s="302">
        <f t="shared" si="228"/>
        <v>7.3720800272355752E-2</v>
      </c>
      <c r="M607" s="236"/>
      <c r="N607" s="236"/>
    </row>
    <row r="608" spans="1:14" x14ac:dyDescent="0.2">
      <c r="A608" s="237" t="str">
        <f>name!E$8</f>
        <v>Skilled trades occupations</v>
      </c>
      <c r="B608" s="302">
        <v>1.0626193748791229E-2</v>
      </c>
      <c r="C608" s="302">
        <v>5.017391418520286E-2</v>
      </c>
      <c r="D608" s="302">
        <f t="shared" si="226"/>
        <v>6.0800107933994089E-2</v>
      </c>
      <c r="E608" s="303"/>
      <c r="F608" s="302">
        <v>4.2328695371431375E-3</v>
      </c>
      <c r="G608" s="302">
        <v>2.4572252602604421E-2</v>
      </c>
      <c r="H608" s="302">
        <f t="shared" si="227"/>
        <v>2.8805122139747556E-2</v>
      </c>
      <c r="I608" s="303"/>
      <c r="J608" s="302">
        <v>4.6740841601915105E-3</v>
      </c>
      <c r="K608" s="302">
        <v>1.4754967390262937E-2</v>
      </c>
      <c r="L608" s="302">
        <f t="shared" si="228"/>
        <v>1.9429051550454449E-2</v>
      </c>
      <c r="M608" s="236"/>
      <c r="N608" s="236"/>
    </row>
    <row r="609" spans="1:14" x14ac:dyDescent="0.2">
      <c r="A609" s="237" t="str">
        <f>name!E$9</f>
        <v>Caring, leisure and other service occupations</v>
      </c>
      <c r="B609" s="302">
        <v>4.1160335320294103E-2</v>
      </c>
      <c r="C609" s="302">
        <v>1.4044561650111601E-2</v>
      </c>
      <c r="D609" s="302">
        <f t="shared" si="226"/>
        <v>5.5204896970405704E-2</v>
      </c>
      <c r="E609" s="303"/>
      <c r="F609" s="302">
        <v>1.9149698961818416E-2</v>
      </c>
      <c r="G609" s="302">
        <v>6.8489537448336614E-3</v>
      </c>
      <c r="H609" s="302">
        <f t="shared" si="227"/>
        <v>2.5998652706652078E-2</v>
      </c>
      <c r="I609" s="303"/>
      <c r="J609" s="302">
        <v>1.2567594823146472E-2</v>
      </c>
      <c r="K609" s="302">
        <v>5.0620658333283405E-3</v>
      </c>
      <c r="L609" s="302">
        <f t="shared" si="228"/>
        <v>1.7629660656474814E-2</v>
      </c>
      <c r="M609" s="236"/>
      <c r="N609" s="236"/>
    </row>
    <row r="610" spans="1:14" x14ac:dyDescent="0.2">
      <c r="A610" s="237" t="str">
        <f>name!E$10</f>
        <v>Sales and customer service occupations</v>
      </c>
      <c r="B610" s="302">
        <v>4.2797865662566985E-2</v>
      </c>
      <c r="C610" s="302">
        <v>2.2910276210533726E-2</v>
      </c>
      <c r="D610" s="302">
        <f t="shared" si="226"/>
        <v>6.5708141873100714E-2</v>
      </c>
      <c r="E610" s="303"/>
      <c r="F610" s="302">
        <v>2.0542180497697647E-2</v>
      </c>
      <c r="G610" s="302">
        <v>1.2296125655317926E-2</v>
      </c>
      <c r="H610" s="302">
        <f t="shared" si="227"/>
        <v>3.283830615301557E-2</v>
      </c>
      <c r="I610" s="303"/>
      <c r="J610" s="302">
        <v>1.5743014040301657E-2</v>
      </c>
      <c r="K610" s="302">
        <v>9.1078853247555745E-3</v>
      </c>
      <c r="L610" s="302">
        <f t="shared" si="228"/>
        <v>2.485089936505723E-2</v>
      </c>
      <c r="M610" s="236"/>
      <c r="N610" s="236"/>
    </row>
    <row r="611" spans="1:14" x14ac:dyDescent="0.2">
      <c r="A611" s="237" t="str">
        <f>name!E$11</f>
        <v>Process, plant and machine operatives</v>
      </c>
      <c r="B611" s="302">
        <v>1.2262624116344515E-2</v>
      </c>
      <c r="C611" s="302">
        <v>4.2616544231656034E-2</v>
      </c>
      <c r="D611" s="302">
        <f t="shared" si="226"/>
        <v>5.4879168348000551E-2</v>
      </c>
      <c r="E611" s="303"/>
      <c r="F611" s="302">
        <v>5.5093938371908084E-3</v>
      </c>
      <c r="G611" s="302">
        <v>2.4854935890835365E-2</v>
      </c>
      <c r="H611" s="302">
        <f t="shared" si="227"/>
        <v>3.0364329728026173E-2</v>
      </c>
      <c r="I611" s="303"/>
      <c r="J611" s="302">
        <v>7.3241015607128541E-3</v>
      </c>
      <c r="K611" s="302">
        <v>1.4198395496601209E-2</v>
      </c>
      <c r="L611" s="302">
        <f t="shared" si="228"/>
        <v>2.1522497057314065E-2</v>
      </c>
      <c r="M611" s="236"/>
      <c r="N611" s="236"/>
    </row>
    <row r="612" spans="1:14" x14ac:dyDescent="0.2">
      <c r="A612" s="237" t="str">
        <f>name!E$12</f>
        <v>Elementary occupations</v>
      </c>
      <c r="B612" s="302">
        <v>2.2804834110439622E-2</v>
      </c>
      <c r="C612" s="302">
        <v>4.7535719009489927E-2</v>
      </c>
      <c r="D612" s="302">
        <f t="shared" si="226"/>
        <v>7.0340553119929553E-2</v>
      </c>
      <c r="E612" s="303"/>
      <c r="F612" s="302">
        <v>9.7486910956843045E-3</v>
      </c>
      <c r="G612" s="302">
        <v>1.844883052264756E-2</v>
      </c>
      <c r="H612" s="302">
        <f t="shared" si="227"/>
        <v>2.8197521618331865E-2</v>
      </c>
      <c r="I612" s="303"/>
      <c r="J612" s="302">
        <v>6.3392637592898076E-3</v>
      </c>
      <c r="K612" s="302">
        <v>8.0496810997612786E-3</v>
      </c>
      <c r="L612" s="302">
        <f t="shared" si="228"/>
        <v>1.4388944859051086E-2</v>
      </c>
      <c r="M612" s="236"/>
      <c r="N612" s="236"/>
    </row>
    <row r="613" spans="1:14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2">
      <c r="A614" s="244" t="s">
        <v>32</v>
      </c>
      <c r="B614" s="311">
        <f>SUM(B604:B612)</f>
        <v>0.50799999999565026</v>
      </c>
      <c r="C614" s="311">
        <f t="shared" ref="C614:D614" si="229">SUM(C604:C612)</f>
        <v>0.7000000000005463</v>
      </c>
      <c r="D614" s="311">
        <f t="shared" si="229"/>
        <v>1.2079999999961963</v>
      </c>
      <c r="E614" s="311"/>
      <c r="F614" s="311">
        <f t="shared" ref="F614:H614" si="230">SUM(F604:F612)</f>
        <v>0.26000000000134665</v>
      </c>
      <c r="G614" s="311">
        <f t="shared" si="230"/>
        <v>0.39000000000191432</v>
      </c>
      <c r="H614" s="311">
        <f t="shared" si="230"/>
        <v>0.65000000000326086</v>
      </c>
      <c r="I614" s="311"/>
      <c r="J614" s="311">
        <f t="shared" ref="J614:L614" si="231">SUM(J604:J612)</f>
        <v>0.18599999999833192</v>
      </c>
      <c r="K614" s="311">
        <f t="shared" si="231"/>
        <v>0.27800000000097524</v>
      </c>
      <c r="L614" s="311">
        <f t="shared" si="231"/>
        <v>0.46399999999930702</v>
      </c>
      <c r="M614" s="236"/>
      <c r="N614" s="236"/>
    </row>
    <row r="615" spans="1:14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2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2">
      <c r="A618" s="241" t="str">
        <f>name!A39</f>
        <v>Air transport</v>
      </c>
      <c r="B618" s="372">
        <f>B$6</f>
        <v>2015</v>
      </c>
      <c r="C618" s="372"/>
      <c r="D618" s="372"/>
      <c r="E618" s="253"/>
      <c r="F618" s="372">
        <f>F601</f>
        <v>2020</v>
      </c>
      <c r="G618" s="372"/>
      <c r="H618" s="372"/>
      <c r="I618" s="253"/>
      <c r="J618" s="372">
        <f>J601</f>
        <v>2035</v>
      </c>
      <c r="K618" s="372"/>
      <c r="L618" s="372"/>
      <c r="M618" s="236"/>
      <c r="N618" s="236"/>
    </row>
    <row r="619" spans="1:14" x14ac:dyDescent="0.2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2">
      <c r="A621" s="237" t="str">
        <f>name!E$4</f>
        <v>Managers, directors and senior officials</v>
      </c>
      <c r="B621" s="302">
        <v>2.0693113710704182E-2</v>
      </c>
      <c r="C621" s="302">
        <v>0.11419734964611572</v>
      </c>
      <c r="D621" s="302">
        <f>SUM(B621:C621)</f>
        <v>0.1348904633568199</v>
      </c>
      <c r="E621" s="303"/>
      <c r="F621" s="302">
        <v>3.4270367923908973E-2</v>
      </c>
      <c r="G621" s="302">
        <v>0.15328982854144713</v>
      </c>
      <c r="H621" s="302">
        <f>SUM(F621:G621)</f>
        <v>0.1875601964653561</v>
      </c>
      <c r="I621" s="303"/>
      <c r="J621" s="302">
        <v>5.7683564442960772E-2</v>
      </c>
      <c r="K621" s="302">
        <v>0.20907745482076762</v>
      </c>
      <c r="L621" s="302">
        <f>SUM(J621:K621)</f>
        <v>0.26676101926372842</v>
      </c>
      <c r="M621" s="236"/>
      <c r="N621" s="236"/>
    </row>
    <row r="622" spans="1:14" x14ac:dyDescent="0.2">
      <c r="A622" s="237" t="str">
        <f>name!E$5</f>
        <v>Professional occupations</v>
      </c>
      <c r="B622" s="302">
        <v>3.8700439764615971E-2</v>
      </c>
      <c r="C622" s="302">
        <v>0.27430937878766126</v>
      </c>
      <c r="D622" s="302">
        <f t="shared" ref="D622:D629" si="232">SUM(B622:C622)</f>
        <v>0.31300981855227722</v>
      </c>
      <c r="E622" s="303"/>
      <c r="F622" s="302">
        <v>7.6808846318596496E-2</v>
      </c>
      <c r="G622" s="302">
        <v>0.37743994595685942</v>
      </c>
      <c r="H622" s="302">
        <f t="shared" ref="H622:H629" si="233">SUM(F622:G622)</f>
        <v>0.45424879227545589</v>
      </c>
      <c r="I622" s="303"/>
      <c r="J622" s="302">
        <v>0.12835062134300904</v>
      </c>
      <c r="K622" s="302">
        <v>0.59567709099153598</v>
      </c>
      <c r="L622" s="302">
        <f t="shared" ref="L622:L629" si="234">SUM(J622:K622)</f>
        <v>0.72402771233454499</v>
      </c>
      <c r="M622" s="236"/>
      <c r="N622" s="236"/>
    </row>
    <row r="623" spans="1:14" x14ac:dyDescent="0.2">
      <c r="A623" s="237" t="str">
        <f>name!E$6</f>
        <v>Associate professional occupations</v>
      </c>
      <c r="B623" s="302">
        <v>6.296833162504642E-2</v>
      </c>
      <c r="C623" s="302">
        <v>0.4413068677413084</v>
      </c>
      <c r="D623" s="302">
        <f t="shared" si="232"/>
        <v>0.50427519936635479</v>
      </c>
      <c r="E623" s="303"/>
      <c r="F623" s="302">
        <v>0.11070221470979699</v>
      </c>
      <c r="G623" s="302">
        <v>0.53040705440907765</v>
      </c>
      <c r="H623" s="302">
        <f t="shared" si="233"/>
        <v>0.64110926911887467</v>
      </c>
      <c r="I623" s="303"/>
      <c r="J623" s="302">
        <v>0.16399998097390636</v>
      </c>
      <c r="K623" s="302">
        <v>0.65131552429540329</v>
      </c>
      <c r="L623" s="302">
        <f t="shared" si="234"/>
        <v>0.81531550526930963</v>
      </c>
      <c r="M623" s="236"/>
      <c r="N623" s="236"/>
    </row>
    <row r="624" spans="1:14" x14ac:dyDescent="0.2">
      <c r="A624" s="237" t="str">
        <f>name!E$7</f>
        <v>Administrative and secretarial occupations</v>
      </c>
      <c r="B624" s="302">
        <v>0.1047960993220402</v>
      </c>
      <c r="C624" s="302">
        <v>7.4708839680417541E-2</v>
      </c>
      <c r="D624" s="302">
        <f t="shared" si="232"/>
        <v>0.17950493900245773</v>
      </c>
      <c r="E624" s="303"/>
      <c r="F624" s="302">
        <v>0.152096588073555</v>
      </c>
      <c r="G624" s="302">
        <v>8.6634776645067246E-2</v>
      </c>
      <c r="H624" s="302">
        <f t="shared" si="233"/>
        <v>0.23873136471862225</v>
      </c>
      <c r="I624" s="303"/>
      <c r="J624" s="302">
        <v>0.19453163757943792</v>
      </c>
      <c r="K624" s="302">
        <v>0.12923057503396204</v>
      </c>
      <c r="L624" s="302">
        <f t="shared" si="234"/>
        <v>0.32376221261339999</v>
      </c>
      <c r="M624" s="236"/>
      <c r="N624" s="236"/>
    </row>
    <row r="625" spans="1:14" x14ac:dyDescent="0.2">
      <c r="A625" s="237" t="str">
        <f>name!E$8</f>
        <v>Skilled trades occupations</v>
      </c>
      <c r="B625" s="302">
        <v>1.0032761718257722E-2</v>
      </c>
      <c r="C625" s="302">
        <v>0.19599893647698063</v>
      </c>
      <c r="D625" s="302">
        <f t="shared" si="232"/>
        <v>0.20603169819523837</v>
      </c>
      <c r="E625" s="303"/>
      <c r="F625" s="302">
        <v>1.4451880626805086E-2</v>
      </c>
      <c r="G625" s="302">
        <v>0.21231760731807461</v>
      </c>
      <c r="H625" s="302">
        <f t="shared" si="233"/>
        <v>0.22676948794487969</v>
      </c>
      <c r="I625" s="303"/>
      <c r="J625" s="302">
        <v>4.0885806415056701E-2</v>
      </c>
      <c r="K625" s="302">
        <v>0.23199876014608947</v>
      </c>
      <c r="L625" s="302">
        <f t="shared" si="234"/>
        <v>0.27288456656114618</v>
      </c>
      <c r="M625" s="236"/>
      <c r="N625" s="236"/>
    </row>
    <row r="626" spans="1:14" x14ac:dyDescent="0.2">
      <c r="A626" s="237" t="str">
        <f>name!E$9</f>
        <v>Caring, leisure and other service occupations</v>
      </c>
      <c r="B626" s="302">
        <v>0.30284348396380012</v>
      </c>
      <c r="C626" s="302">
        <v>7.3305538475029616E-2</v>
      </c>
      <c r="D626" s="302">
        <f t="shared" si="232"/>
        <v>0.37614902243882975</v>
      </c>
      <c r="E626" s="303"/>
      <c r="F626" s="302">
        <v>0.37237569423829653</v>
      </c>
      <c r="G626" s="302">
        <v>8.0647720224420752E-2</v>
      </c>
      <c r="H626" s="302">
        <f t="shared" si="233"/>
        <v>0.45302341446271727</v>
      </c>
      <c r="I626" s="303"/>
      <c r="J626" s="302">
        <v>0.50923538166283844</v>
      </c>
      <c r="K626" s="302">
        <v>0.11552723733390595</v>
      </c>
      <c r="L626" s="302">
        <f t="shared" si="234"/>
        <v>0.62476261899674435</v>
      </c>
      <c r="M626" s="236"/>
      <c r="N626" s="236"/>
    </row>
    <row r="627" spans="1:14" x14ac:dyDescent="0.2">
      <c r="A627" s="237" t="str">
        <f>name!E$10</f>
        <v>Sales and customer service occupations</v>
      </c>
      <c r="B627" s="302">
        <v>4.9584260422686183E-2</v>
      </c>
      <c r="C627" s="302">
        <v>3.1564510366477568E-2</v>
      </c>
      <c r="D627" s="302">
        <f t="shared" si="232"/>
        <v>8.1148770789163743E-2</v>
      </c>
      <c r="E627" s="303"/>
      <c r="F627" s="302">
        <v>8.0879410040767985E-2</v>
      </c>
      <c r="G627" s="302">
        <v>3.943173251500922E-2</v>
      </c>
      <c r="H627" s="302">
        <f t="shared" si="233"/>
        <v>0.12031114255577721</v>
      </c>
      <c r="I627" s="303"/>
      <c r="J627" s="302">
        <v>0.14054374928407851</v>
      </c>
      <c r="K627" s="302">
        <v>6.746672503015097E-2</v>
      </c>
      <c r="L627" s="302">
        <f t="shared" si="234"/>
        <v>0.20801047431422948</v>
      </c>
      <c r="M627" s="236"/>
      <c r="N627" s="236"/>
    </row>
    <row r="628" spans="1:14" x14ac:dyDescent="0.2">
      <c r="A628" s="237" t="str">
        <f>name!E$11</f>
        <v>Process, plant and machine operatives</v>
      </c>
      <c r="B628" s="302">
        <v>2.8926908448878734E-2</v>
      </c>
      <c r="C628" s="302">
        <v>0.10165076735085259</v>
      </c>
      <c r="D628" s="302">
        <f t="shared" si="232"/>
        <v>0.13057767579973131</v>
      </c>
      <c r="E628" s="303"/>
      <c r="F628" s="302">
        <v>3.3790627663850548E-2</v>
      </c>
      <c r="G628" s="302">
        <v>0.10287578169569178</v>
      </c>
      <c r="H628" s="302">
        <f t="shared" si="233"/>
        <v>0.13666640935954233</v>
      </c>
      <c r="I628" s="303"/>
      <c r="J628" s="302">
        <v>7.7312831570683388E-2</v>
      </c>
      <c r="K628" s="302">
        <v>0.12603922955978003</v>
      </c>
      <c r="L628" s="302">
        <f t="shared" si="234"/>
        <v>0.20335206113046342</v>
      </c>
      <c r="M628" s="236"/>
      <c r="N628" s="236"/>
    </row>
    <row r="629" spans="1:14" x14ac:dyDescent="0.2">
      <c r="A629" s="237" t="str">
        <f>name!E$12</f>
        <v>Elementary occupations</v>
      </c>
      <c r="B629" s="302">
        <v>8.6454601016477103E-2</v>
      </c>
      <c r="C629" s="302">
        <v>3.6957811476030326E-2</v>
      </c>
      <c r="D629" s="302">
        <f t="shared" si="232"/>
        <v>0.12341241249250742</v>
      </c>
      <c r="E629" s="303"/>
      <c r="F629" s="302">
        <v>0.10162437041079304</v>
      </c>
      <c r="G629" s="302">
        <v>3.695555269799429E-2</v>
      </c>
      <c r="H629" s="302">
        <f t="shared" si="233"/>
        <v>0.13857992310878733</v>
      </c>
      <c r="I629" s="303"/>
      <c r="J629" s="302">
        <v>0.12145642671536187</v>
      </c>
      <c r="K629" s="302">
        <v>4.3667402788194337E-2</v>
      </c>
      <c r="L629" s="302">
        <f t="shared" si="234"/>
        <v>0.1651238295035562</v>
      </c>
      <c r="M629" s="236"/>
      <c r="N629" s="236"/>
    </row>
    <row r="630" spans="1:14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2">
      <c r="A631" s="244" t="s">
        <v>32</v>
      </c>
      <c r="B631" s="311">
        <f>SUM(B621:B629)</f>
        <v>0.70499999999250651</v>
      </c>
      <c r="C631" s="311">
        <f t="shared" ref="C631:D631" si="235">SUM(C621:C629)</f>
        <v>1.3440000000008738</v>
      </c>
      <c r="D631" s="311">
        <f t="shared" si="235"/>
        <v>2.0489999999933803</v>
      </c>
      <c r="E631" s="311"/>
      <c r="F631" s="311">
        <f t="shared" ref="F631:H631" si="236">SUM(F621:F629)</f>
        <v>0.97700000000637066</v>
      </c>
      <c r="G631" s="311">
        <f t="shared" si="236"/>
        <v>1.6200000000036423</v>
      </c>
      <c r="H631" s="311">
        <f t="shared" si="236"/>
        <v>2.5970000000100124</v>
      </c>
      <c r="I631" s="311"/>
      <c r="J631" s="311">
        <f t="shared" ref="J631:L631" si="237">SUM(J621:J629)</f>
        <v>1.433999999987333</v>
      </c>
      <c r="K631" s="311">
        <f t="shared" si="237"/>
        <v>2.1699999999997899</v>
      </c>
      <c r="L631" s="311">
        <f t="shared" si="237"/>
        <v>3.6039999999871233</v>
      </c>
      <c r="M631" s="236"/>
      <c r="N631" s="236"/>
    </row>
    <row r="632" spans="1:14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2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2">
      <c r="A635" s="241" t="str">
        <f>name!A40</f>
        <v>Warehousing, etc</v>
      </c>
      <c r="B635" s="372">
        <f>B$6</f>
        <v>2015</v>
      </c>
      <c r="C635" s="372"/>
      <c r="D635" s="372"/>
      <c r="E635" s="253"/>
      <c r="F635" s="372">
        <f>F618</f>
        <v>2020</v>
      </c>
      <c r="G635" s="372"/>
      <c r="H635" s="372"/>
      <c r="I635" s="253"/>
      <c r="J635" s="372">
        <f>J618</f>
        <v>2035</v>
      </c>
      <c r="K635" s="372"/>
      <c r="L635" s="372"/>
      <c r="M635" s="236"/>
      <c r="N635" s="236"/>
    </row>
    <row r="636" spans="1:14" x14ac:dyDescent="0.2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2">
      <c r="A638" s="237" t="str">
        <f>name!E$4</f>
        <v>Managers, directors and senior officials</v>
      </c>
      <c r="B638" s="302">
        <v>0.30871770102493379</v>
      </c>
      <c r="C638" s="302">
        <v>3.9203853529986303</v>
      </c>
      <c r="D638" s="302">
        <f>SUM(B638:C638)</f>
        <v>4.2291030540235646</v>
      </c>
      <c r="E638" s="303"/>
      <c r="F638" s="302">
        <v>0.47695666015621663</v>
      </c>
      <c r="G638" s="302">
        <v>4.6371522256256732</v>
      </c>
      <c r="H638" s="302">
        <f>SUM(F638:G638)</f>
        <v>5.1141088857818895</v>
      </c>
      <c r="I638" s="303"/>
      <c r="J638" s="302">
        <v>0.67559136913435147</v>
      </c>
      <c r="K638" s="302">
        <v>4.9229991737057617</v>
      </c>
      <c r="L638" s="302">
        <f>SUM(J638:K638)</f>
        <v>5.598590542840113</v>
      </c>
      <c r="M638" s="236"/>
      <c r="N638" s="236"/>
    </row>
    <row r="639" spans="1:14" x14ac:dyDescent="0.2">
      <c r="A639" s="237" t="str">
        <f>name!E$5</f>
        <v>Professional occupations</v>
      </c>
      <c r="B639" s="302">
        <v>0.1679420673534989</v>
      </c>
      <c r="C639" s="302">
        <v>3.0963902879205043</v>
      </c>
      <c r="D639" s="302">
        <f t="shared" ref="D639:D646" si="238">SUM(B639:C639)</f>
        <v>3.2643323552740031</v>
      </c>
      <c r="E639" s="303"/>
      <c r="F639" s="302">
        <v>0.33774552175603278</v>
      </c>
      <c r="G639" s="302">
        <v>3.9808859833410262</v>
      </c>
      <c r="H639" s="302">
        <f t="shared" ref="H639:H646" si="239">SUM(F639:G639)</f>
        <v>4.3186315050970592</v>
      </c>
      <c r="I639" s="303"/>
      <c r="J639" s="302">
        <v>0.47354344784037022</v>
      </c>
      <c r="K639" s="302">
        <v>5.1164821237685807</v>
      </c>
      <c r="L639" s="302">
        <f t="shared" ref="L639:L646" si="240">SUM(J639:K639)</f>
        <v>5.5900255716089511</v>
      </c>
      <c r="M639" s="236"/>
      <c r="N639" s="236"/>
    </row>
    <row r="640" spans="1:14" x14ac:dyDescent="0.2">
      <c r="A640" s="237" t="str">
        <f>name!E$6</f>
        <v>Associate professional occupations</v>
      </c>
      <c r="B640" s="302">
        <v>0.21460249890622438</v>
      </c>
      <c r="C640" s="302">
        <v>2.9629256328907267</v>
      </c>
      <c r="D640" s="302">
        <f t="shared" si="238"/>
        <v>3.1775281317969513</v>
      </c>
      <c r="E640" s="303"/>
      <c r="F640" s="302">
        <v>0.35224541720004449</v>
      </c>
      <c r="G640" s="302">
        <v>3.5338972326309448</v>
      </c>
      <c r="H640" s="302">
        <f t="shared" si="239"/>
        <v>3.8861426498309894</v>
      </c>
      <c r="I640" s="303"/>
      <c r="J640" s="302">
        <v>0.4178673858335013</v>
      </c>
      <c r="K640" s="302">
        <v>3.6378171527938203</v>
      </c>
      <c r="L640" s="302">
        <f t="shared" si="240"/>
        <v>4.0556845386273217</v>
      </c>
      <c r="M640" s="236"/>
      <c r="N640" s="236"/>
    </row>
    <row r="641" spans="1:14" x14ac:dyDescent="0.2">
      <c r="A641" s="237" t="str">
        <f>name!E$7</f>
        <v>Administrative and secretarial occupations</v>
      </c>
      <c r="B641" s="302">
        <v>0.96965409689516302</v>
      </c>
      <c r="C641" s="302">
        <v>2.359090616599262</v>
      </c>
      <c r="D641" s="302">
        <f t="shared" si="238"/>
        <v>3.3287447134944248</v>
      </c>
      <c r="E641" s="303"/>
      <c r="F641" s="302">
        <v>1.4485264525635513</v>
      </c>
      <c r="G641" s="302">
        <v>2.7750644340338519</v>
      </c>
      <c r="H641" s="302">
        <f t="shared" si="239"/>
        <v>4.2235908865974032</v>
      </c>
      <c r="I641" s="303"/>
      <c r="J641" s="302">
        <v>1.3123752518234295</v>
      </c>
      <c r="K641" s="302">
        <v>2.9417169282694773</v>
      </c>
      <c r="L641" s="302">
        <f t="shared" si="240"/>
        <v>4.2540921800929068</v>
      </c>
      <c r="M641" s="236"/>
      <c r="N641" s="236"/>
    </row>
    <row r="642" spans="1:14" x14ac:dyDescent="0.2">
      <c r="A642" s="237" t="str">
        <f>name!E$8</f>
        <v>Skilled trades occupations</v>
      </c>
      <c r="B642" s="302">
        <v>3.4881904484829772E-2</v>
      </c>
      <c r="C642" s="302">
        <v>1.4279252501222635</v>
      </c>
      <c r="D642" s="302">
        <f t="shared" si="238"/>
        <v>1.4628071546070933</v>
      </c>
      <c r="E642" s="303"/>
      <c r="F642" s="302">
        <v>3.9132318115809514E-2</v>
      </c>
      <c r="G642" s="302">
        <v>1.2381877682737565</v>
      </c>
      <c r="H642" s="302">
        <f t="shared" si="239"/>
        <v>1.277320086389566</v>
      </c>
      <c r="I642" s="303"/>
      <c r="J642" s="302">
        <v>6.3875290484448538E-2</v>
      </c>
      <c r="K642" s="302">
        <v>1.3020019377404537</v>
      </c>
      <c r="L642" s="302">
        <f t="shared" si="240"/>
        <v>1.3658772282249023</v>
      </c>
      <c r="M642" s="236"/>
      <c r="N642" s="236"/>
    </row>
    <row r="643" spans="1:14" x14ac:dyDescent="0.2">
      <c r="A643" s="237" t="str">
        <f>name!E$9</f>
        <v>Caring, leisure and other service occupations</v>
      </c>
      <c r="B643" s="302">
        <v>1.3783615556347244</v>
      </c>
      <c r="C643" s="302">
        <v>1.6566851136352907</v>
      </c>
      <c r="D643" s="302">
        <f t="shared" si="238"/>
        <v>3.0350466692700149</v>
      </c>
      <c r="E643" s="303"/>
      <c r="F643" s="302">
        <v>1.4683522257706525</v>
      </c>
      <c r="G643" s="302">
        <v>1.8973285830973095</v>
      </c>
      <c r="H643" s="302">
        <f t="shared" si="239"/>
        <v>3.3656808088679622</v>
      </c>
      <c r="I643" s="303"/>
      <c r="J643" s="302">
        <v>1.5133549306414518</v>
      </c>
      <c r="K643" s="302">
        <v>2.0934770083297467</v>
      </c>
      <c r="L643" s="302">
        <f t="shared" si="240"/>
        <v>3.6068319389711982</v>
      </c>
      <c r="M643" s="236"/>
      <c r="N643" s="236"/>
    </row>
    <row r="644" spans="1:14" x14ac:dyDescent="0.2">
      <c r="A644" s="237" t="str">
        <f>name!E$10</f>
        <v>Sales and customer service occupations</v>
      </c>
      <c r="B644" s="302">
        <v>0.32342370314242569</v>
      </c>
      <c r="C644" s="302">
        <v>1.3326127111914929</v>
      </c>
      <c r="D644" s="302">
        <f t="shared" si="238"/>
        <v>1.6560364143339186</v>
      </c>
      <c r="E644" s="303"/>
      <c r="F644" s="302">
        <v>0.45672411516403749</v>
      </c>
      <c r="G644" s="302">
        <v>1.4140077172515813</v>
      </c>
      <c r="H644" s="302">
        <f t="shared" si="239"/>
        <v>1.8707318324156188</v>
      </c>
      <c r="I644" s="303"/>
      <c r="J644" s="302">
        <v>0.53025778990652728</v>
      </c>
      <c r="K644" s="302">
        <v>1.7981463379334015</v>
      </c>
      <c r="L644" s="302">
        <f t="shared" si="240"/>
        <v>2.3284041278399288</v>
      </c>
      <c r="M644" s="236"/>
      <c r="N644" s="236"/>
    </row>
    <row r="645" spans="1:14" x14ac:dyDescent="0.2">
      <c r="A645" s="237" t="str">
        <f>name!E$11</f>
        <v>Process, plant and machine operatives</v>
      </c>
      <c r="B645" s="302">
        <v>0.13080340412972649</v>
      </c>
      <c r="C645" s="302">
        <v>5.0210812978079291</v>
      </c>
      <c r="D645" s="302">
        <f t="shared" si="238"/>
        <v>5.1518847019376555</v>
      </c>
      <c r="E645" s="303"/>
      <c r="F645" s="302">
        <v>0.1558092330500386</v>
      </c>
      <c r="G645" s="302">
        <v>4.6848262850657578</v>
      </c>
      <c r="H645" s="302">
        <f t="shared" si="239"/>
        <v>4.8406355181157963</v>
      </c>
      <c r="I645" s="303"/>
      <c r="J645" s="302">
        <v>0.38697879935791674</v>
      </c>
      <c r="K645" s="302">
        <v>4.7064578264511274</v>
      </c>
      <c r="L645" s="302">
        <f t="shared" si="240"/>
        <v>5.0934366258090442</v>
      </c>
      <c r="M645" s="236"/>
      <c r="N645" s="236"/>
    </row>
    <row r="646" spans="1:14" x14ac:dyDescent="0.2">
      <c r="A646" s="237" t="str">
        <f>name!E$12</f>
        <v>Elementary occupations</v>
      </c>
      <c r="B646" s="302">
        <v>0.51761306839880561</v>
      </c>
      <c r="C646" s="302">
        <v>5.1779037369348604</v>
      </c>
      <c r="D646" s="302">
        <f t="shared" si="238"/>
        <v>5.695516805333666</v>
      </c>
      <c r="E646" s="303"/>
      <c r="F646" s="302">
        <v>0.6735080562731921</v>
      </c>
      <c r="G646" s="302">
        <v>4.1706497709278123</v>
      </c>
      <c r="H646" s="302">
        <f t="shared" si="239"/>
        <v>4.8441578272010046</v>
      </c>
      <c r="I646" s="303"/>
      <c r="J646" s="302">
        <v>0.80115573489486969</v>
      </c>
      <c r="K646" s="302">
        <v>2.4629015113401973</v>
      </c>
      <c r="L646" s="302">
        <f t="shared" si="240"/>
        <v>3.2640572462350672</v>
      </c>
      <c r="M646" s="236"/>
      <c r="N646" s="236"/>
    </row>
    <row r="647" spans="1:14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2">
      <c r="A648" s="244" t="s">
        <v>32</v>
      </c>
      <c r="B648" s="311">
        <f>SUM(B638:B646)</f>
        <v>4.0459999999703324</v>
      </c>
      <c r="C648" s="311">
        <f t="shared" ref="C648:D648" si="241">SUM(C638:C646)</f>
        <v>26.955000000100959</v>
      </c>
      <c r="D648" s="311">
        <f t="shared" si="241"/>
        <v>31.001000000071294</v>
      </c>
      <c r="E648" s="311"/>
      <c r="F648" s="311">
        <f t="shared" ref="F648:H648" si="242">SUM(F638:F646)</f>
        <v>5.4090000000495762</v>
      </c>
      <c r="G648" s="311">
        <f t="shared" si="242"/>
        <v>28.332000000247714</v>
      </c>
      <c r="H648" s="311">
        <f t="shared" si="242"/>
        <v>33.741000000297291</v>
      </c>
      <c r="I648" s="311"/>
      <c r="J648" s="311">
        <f t="shared" ref="J648:L648" si="243">SUM(J638:J646)</f>
        <v>6.1749999999168672</v>
      </c>
      <c r="K648" s="311">
        <f t="shared" si="243"/>
        <v>28.982000000332569</v>
      </c>
      <c r="L648" s="311">
        <f t="shared" si="243"/>
        <v>35.157000000249433</v>
      </c>
      <c r="M648" s="236"/>
      <c r="N648" s="236"/>
    </row>
    <row r="649" spans="1:14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2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2">
      <c r="A652" s="241" t="str">
        <f>name!A41</f>
        <v>Postal and courier</v>
      </c>
      <c r="B652" s="372">
        <f>B$6</f>
        <v>2015</v>
      </c>
      <c r="C652" s="372"/>
      <c r="D652" s="372"/>
      <c r="E652" s="253"/>
      <c r="F652" s="372">
        <f>F635</f>
        <v>2020</v>
      </c>
      <c r="G652" s="372"/>
      <c r="H652" s="372"/>
      <c r="I652" s="253"/>
      <c r="J652" s="372">
        <f>J635</f>
        <v>2035</v>
      </c>
      <c r="K652" s="372"/>
      <c r="L652" s="372"/>
      <c r="M652" s="236"/>
      <c r="N652" s="236"/>
    </row>
    <row r="653" spans="1:14" x14ac:dyDescent="0.2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2">
      <c r="A655" s="237" t="str">
        <f>name!E$4</f>
        <v>Managers, directors and senior officials</v>
      </c>
      <c r="B655" s="302">
        <v>1.1193885786554525</v>
      </c>
      <c r="C655" s="302">
        <v>1.3649736571283102</v>
      </c>
      <c r="D655" s="302">
        <f>SUM(B655:C655)</f>
        <v>2.4843622357837627</v>
      </c>
      <c r="E655" s="303"/>
      <c r="F655" s="302">
        <v>1.2928749730329421</v>
      </c>
      <c r="G655" s="302">
        <v>1.1471764007855978</v>
      </c>
      <c r="H655" s="302">
        <f>SUM(F655:G655)</f>
        <v>2.4400513738185401</v>
      </c>
      <c r="I655" s="303"/>
      <c r="J655" s="302">
        <v>1.6942590557602666</v>
      </c>
      <c r="K655" s="302">
        <v>1.1610823928998681</v>
      </c>
      <c r="L655" s="302">
        <f>SUM(J655:K655)</f>
        <v>2.855341448660135</v>
      </c>
      <c r="M655" s="236"/>
      <c r="N655" s="236"/>
    </row>
    <row r="656" spans="1:14" x14ac:dyDescent="0.2">
      <c r="A656" s="237" t="str">
        <f>name!E$5</f>
        <v>Professional occupations</v>
      </c>
      <c r="B656" s="302">
        <v>0.64781505932608618</v>
      </c>
      <c r="C656" s="302">
        <v>0.80243311471332668</v>
      </c>
      <c r="D656" s="302">
        <f t="shared" ref="D656:D663" si="244">SUM(B656:C656)</f>
        <v>1.4502481740394129</v>
      </c>
      <c r="E656" s="303"/>
      <c r="F656" s="302">
        <v>0.86178427639551347</v>
      </c>
      <c r="G656" s="302">
        <v>0.74682850414707025</v>
      </c>
      <c r="H656" s="302">
        <f t="shared" ref="H656:H663" si="245">SUM(F656:G656)</f>
        <v>1.6086127805425838</v>
      </c>
      <c r="I656" s="303"/>
      <c r="J656" s="302">
        <v>1.1314207316740854</v>
      </c>
      <c r="K656" s="302">
        <v>0.9011101540351617</v>
      </c>
      <c r="L656" s="302">
        <f t="shared" ref="L656:L663" si="246">SUM(J656:K656)</f>
        <v>2.0325308857092472</v>
      </c>
      <c r="M656" s="236"/>
      <c r="N656" s="236"/>
    </row>
    <row r="657" spans="1:14" x14ac:dyDescent="0.2">
      <c r="A657" s="237" t="str">
        <f>name!E$6</f>
        <v>Associate professional occupations</v>
      </c>
      <c r="B657" s="302">
        <v>0.75697991194139536</v>
      </c>
      <c r="C657" s="302">
        <v>0.88171389190448168</v>
      </c>
      <c r="D657" s="302">
        <f t="shared" si="244"/>
        <v>1.6386938038458769</v>
      </c>
      <c r="E657" s="303"/>
      <c r="F657" s="302">
        <v>0.87008349004809427</v>
      </c>
      <c r="G657" s="302">
        <v>0.72151867701696049</v>
      </c>
      <c r="H657" s="302">
        <f t="shared" si="245"/>
        <v>1.5916021670650546</v>
      </c>
      <c r="I657" s="303"/>
      <c r="J657" s="302">
        <v>0.99314130025486935</v>
      </c>
      <c r="K657" s="302">
        <v>0.72924930272871324</v>
      </c>
      <c r="L657" s="302">
        <f t="shared" si="246"/>
        <v>1.7223906029835825</v>
      </c>
      <c r="M657" s="236"/>
      <c r="N657" s="236"/>
    </row>
    <row r="658" spans="1:14" x14ac:dyDescent="0.2">
      <c r="A658" s="237" t="str">
        <f>name!E$7</f>
        <v>Administrative and secretarial occupations</v>
      </c>
      <c r="B658" s="302">
        <v>3.960539094270743</v>
      </c>
      <c r="C658" s="302">
        <v>0.9286026186298042</v>
      </c>
      <c r="D658" s="302">
        <f t="shared" si="244"/>
        <v>4.889141712900547</v>
      </c>
      <c r="E658" s="303"/>
      <c r="F658" s="302">
        <v>4.3438851286077211</v>
      </c>
      <c r="G658" s="302">
        <v>0.73928238819724235</v>
      </c>
      <c r="H658" s="302">
        <f t="shared" si="245"/>
        <v>5.0831675168049637</v>
      </c>
      <c r="I658" s="303"/>
      <c r="J658" s="302">
        <v>4.3725838299998303</v>
      </c>
      <c r="K658" s="302">
        <v>0.76492391900039858</v>
      </c>
      <c r="L658" s="302">
        <f t="shared" si="246"/>
        <v>5.1375077490002292</v>
      </c>
      <c r="M658" s="236"/>
      <c r="N658" s="236"/>
    </row>
    <row r="659" spans="1:14" x14ac:dyDescent="0.2">
      <c r="A659" s="237" t="str">
        <f>name!E$8</f>
        <v>Skilled trades occupations</v>
      </c>
      <c r="B659" s="302">
        <v>0.11086049680447754</v>
      </c>
      <c r="C659" s="302">
        <v>1.8650565157169996</v>
      </c>
      <c r="D659" s="302">
        <f t="shared" si="244"/>
        <v>1.9759170125214771</v>
      </c>
      <c r="E659" s="303"/>
      <c r="F659" s="302">
        <v>0.11192896298314264</v>
      </c>
      <c r="G659" s="302">
        <v>1.4180202775021777</v>
      </c>
      <c r="H659" s="302">
        <f t="shared" si="245"/>
        <v>1.5299492404853203</v>
      </c>
      <c r="I659" s="303"/>
      <c r="J659" s="302">
        <v>0.31509123990975219</v>
      </c>
      <c r="K659" s="302">
        <v>1.4755942614059641</v>
      </c>
      <c r="L659" s="302">
        <f t="shared" si="246"/>
        <v>1.7906855013157164</v>
      </c>
      <c r="M659" s="236"/>
      <c r="N659" s="236"/>
    </row>
    <row r="660" spans="1:14" x14ac:dyDescent="0.2">
      <c r="A660" s="237" t="str">
        <f>name!E$9</f>
        <v>Caring, leisure and other service occupations</v>
      </c>
      <c r="B660" s="302">
        <v>0.31559225723599932</v>
      </c>
      <c r="C660" s="302">
        <v>0.54020173618092659</v>
      </c>
      <c r="D660" s="302">
        <f t="shared" si="244"/>
        <v>0.85579399341692586</v>
      </c>
      <c r="E660" s="303"/>
      <c r="F660" s="302">
        <v>0.31421815112868678</v>
      </c>
      <c r="G660" s="302">
        <v>0.46794967841084206</v>
      </c>
      <c r="H660" s="302">
        <f t="shared" si="245"/>
        <v>0.7821678295395289</v>
      </c>
      <c r="I660" s="303"/>
      <c r="J660" s="302">
        <v>0.34385004166661703</v>
      </c>
      <c r="K660" s="302">
        <v>0.64099992890399415</v>
      </c>
      <c r="L660" s="302">
        <f t="shared" si="246"/>
        <v>0.98484997057061119</v>
      </c>
      <c r="M660" s="236"/>
      <c r="N660" s="236"/>
    </row>
    <row r="661" spans="1:14" x14ac:dyDescent="0.2">
      <c r="A661" s="237" t="str">
        <f>name!E$10</f>
        <v>Sales and customer service occupations</v>
      </c>
      <c r="B661" s="302">
        <v>1.1668080219650461</v>
      </c>
      <c r="C661" s="302">
        <v>0.512320455536043</v>
      </c>
      <c r="D661" s="302">
        <f t="shared" si="244"/>
        <v>1.6791284775010891</v>
      </c>
      <c r="E661" s="303"/>
      <c r="F661" s="302">
        <v>1.2327908506810681</v>
      </c>
      <c r="G661" s="302">
        <v>0.38545239500110995</v>
      </c>
      <c r="H661" s="302">
        <f t="shared" si="245"/>
        <v>1.618243245682178</v>
      </c>
      <c r="I661" s="303"/>
      <c r="J661" s="302">
        <v>1.5319251934534523</v>
      </c>
      <c r="K661" s="302">
        <v>0.52944855108230993</v>
      </c>
      <c r="L661" s="302">
        <f t="shared" si="246"/>
        <v>2.0613737445357625</v>
      </c>
      <c r="M661" s="236"/>
      <c r="N661" s="236"/>
    </row>
    <row r="662" spans="1:14" x14ac:dyDescent="0.2">
      <c r="A662" s="237" t="str">
        <f>name!E$11</f>
        <v>Process, plant and machine operatives</v>
      </c>
      <c r="B662" s="302">
        <v>0.38528256714716858</v>
      </c>
      <c r="C662" s="302">
        <v>2.7239177356417708</v>
      </c>
      <c r="D662" s="302">
        <f t="shared" si="244"/>
        <v>3.1092003027889392</v>
      </c>
      <c r="E662" s="303"/>
      <c r="F662" s="302">
        <v>0.29436829250364693</v>
      </c>
      <c r="G662" s="302">
        <v>1.9401387625291273</v>
      </c>
      <c r="H662" s="302">
        <f t="shared" si="245"/>
        <v>2.2345070550327741</v>
      </c>
      <c r="I662" s="303"/>
      <c r="J662" s="302">
        <v>0.56856155015204146</v>
      </c>
      <c r="K662" s="302">
        <v>1.999402585609001</v>
      </c>
      <c r="L662" s="302">
        <f t="shared" si="246"/>
        <v>2.5679641357610423</v>
      </c>
      <c r="M662" s="236"/>
      <c r="N662" s="236"/>
    </row>
    <row r="663" spans="1:14" x14ac:dyDescent="0.2">
      <c r="A663" s="237" t="str">
        <f>name!E$12</f>
        <v>Elementary occupations</v>
      </c>
      <c r="B663" s="302">
        <v>2.6697340125477425</v>
      </c>
      <c r="C663" s="302">
        <v>8.2667802746683758</v>
      </c>
      <c r="D663" s="302">
        <f t="shared" si="244"/>
        <v>10.936514287216118</v>
      </c>
      <c r="E663" s="303"/>
      <c r="F663" s="302">
        <v>2.4450658747593361</v>
      </c>
      <c r="G663" s="302">
        <v>5.5476329165930247</v>
      </c>
      <c r="H663" s="302">
        <f t="shared" si="245"/>
        <v>7.9926987913523604</v>
      </c>
      <c r="I663" s="303"/>
      <c r="J663" s="302">
        <v>2.3431670569548859</v>
      </c>
      <c r="K663" s="302">
        <v>5.2411889046176663</v>
      </c>
      <c r="L663" s="302">
        <f t="shared" si="246"/>
        <v>7.5843559615725518</v>
      </c>
      <c r="M663" s="236"/>
      <c r="N663" s="236"/>
    </row>
    <row r="664" spans="1:14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2">
      <c r="A665" s="244" t="s">
        <v>32</v>
      </c>
      <c r="B665" s="311">
        <f>SUM(B655:B663)</f>
        <v>11.13299999989411</v>
      </c>
      <c r="C665" s="311">
        <f t="shared" ref="C665:D665" si="247">SUM(C655:C663)</f>
        <v>17.886000000120042</v>
      </c>
      <c r="D665" s="311">
        <f t="shared" si="247"/>
        <v>29.019000000014152</v>
      </c>
      <c r="E665" s="311"/>
      <c r="F665" s="311">
        <f t="shared" ref="F665:H665" si="248">SUM(F655:F663)</f>
        <v>11.767000000140152</v>
      </c>
      <c r="G665" s="311">
        <f t="shared" si="248"/>
        <v>13.114000000183154</v>
      </c>
      <c r="H665" s="311">
        <f t="shared" si="248"/>
        <v>24.881000000323304</v>
      </c>
      <c r="I665" s="311"/>
      <c r="J665" s="311">
        <f t="shared" ref="J665:L665" si="249">SUM(J655:J663)</f>
        <v>13.2939999998258</v>
      </c>
      <c r="K665" s="311">
        <f t="shared" si="249"/>
        <v>13.443000000283078</v>
      </c>
      <c r="L665" s="311">
        <f t="shared" si="249"/>
        <v>26.737000000108875</v>
      </c>
      <c r="M665" s="236"/>
      <c r="N665" s="236"/>
    </row>
    <row r="666" spans="1:14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2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2">
      <c r="A669" s="241" t="str">
        <f>name!A42</f>
        <v>Accommodation</v>
      </c>
      <c r="B669" s="372">
        <f>B$6</f>
        <v>2015</v>
      </c>
      <c r="C669" s="372"/>
      <c r="D669" s="372"/>
      <c r="E669" s="253"/>
      <c r="F669" s="372">
        <f>F652</f>
        <v>2020</v>
      </c>
      <c r="G669" s="372"/>
      <c r="H669" s="372"/>
      <c r="I669" s="253"/>
      <c r="J669" s="372">
        <f>J652</f>
        <v>2035</v>
      </c>
      <c r="K669" s="372"/>
      <c r="L669" s="372"/>
      <c r="M669" s="236"/>
      <c r="N669" s="236"/>
    </row>
    <row r="670" spans="1:14" x14ac:dyDescent="0.2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2">
      <c r="A672" s="237" t="str">
        <f>name!E$4</f>
        <v>Managers, directors and senior officials</v>
      </c>
      <c r="B672" s="302">
        <v>5.7889373451786499</v>
      </c>
      <c r="C672" s="302">
        <v>7.2573440690872726</v>
      </c>
      <c r="D672" s="302">
        <f>SUM(B672:C672)</f>
        <v>13.046281414265923</v>
      </c>
      <c r="E672" s="303"/>
      <c r="F672" s="302">
        <v>6.8573919585923688</v>
      </c>
      <c r="G672" s="302">
        <v>7.7459393457570291</v>
      </c>
      <c r="H672" s="302">
        <f>SUM(F672:G672)</f>
        <v>14.603331304349398</v>
      </c>
      <c r="I672" s="303"/>
      <c r="J672" s="302">
        <v>9.3326280184291797</v>
      </c>
      <c r="K672" s="302">
        <v>10.721350799469041</v>
      </c>
      <c r="L672" s="302">
        <f>SUM(J672:K672)</f>
        <v>20.053978817898219</v>
      </c>
      <c r="M672" s="236"/>
      <c r="N672" s="236"/>
    </row>
    <row r="673" spans="1:14" x14ac:dyDescent="0.2">
      <c r="A673" s="237" t="str">
        <f>name!E$5</f>
        <v>Professional occupations</v>
      </c>
      <c r="B673" s="302">
        <v>1.1907425391646445</v>
      </c>
      <c r="C673" s="302">
        <v>1.5320563053556817</v>
      </c>
      <c r="D673" s="302">
        <f t="shared" ref="D673:D680" si="250">SUM(B673:C673)</f>
        <v>2.7227988445203262</v>
      </c>
      <c r="E673" s="303"/>
      <c r="F673" s="302">
        <v>1.5086470926295354</v>
      </c>
      <c r="G673" s="302">
        <v>1.9288594423335734</v>
      </c>
      <c r="H673" s="302">
        <f t="shared" ref="H673:H680" si="251">SUM(F673:G673)</f>
        <v>3.4375065349631089</v>
      </c>
      <c r="I673" s="303"/>
      <c r="J673" s="302">
        <v>1.8384489756129605</v>
      </c>
      <c r="K673" s="302">
        <v>2.3205140159229294</v>
      </c>
      <c r="L673" s="302">
        <f t="shared" ref="L673:L680" si="252">SUM(J673:K673)</f>
        <v>4.1589629915358897</v>
      </c>
      <c r="M673" s="236"/>
      <c r="N673" s="236"/>
    </row>
    <row r="674" spans="1:14" x14ac:dyDescent="0.2">
      <c r="A674" s="237" t="str">
        <f>name!E$6</f>
        <v>Associate professional occupations</v>
      </c>
      <c r="B674" s="302">
        <v>1.2961223622385609</v>
      </c>
      <c r="C674" s="302">
        <v>1.1792142627695743</v>
      </c>
      <c r="D674" s="302">
        <f t="shared" si="250"/>
        <v>2.4753366250081354</v>
      </c>
      <c r="E674" s="303"/>
      <c r="F674" s="302">
        <v>1.5265459047644347</v>
      </c>
      <c r="G674" s="302">
        <v>1.3693256172605648</v>
      </c>
      <c r="H674" s="302">
        <f t="shared" si="251"/>
        <v>2.8958715220249998</v>
      </c>
      <c r="I674" s="303"/>
      <c r="J674" s="302">
        <v>2.0426744259913234</v>
      </c>
      <c r="K674" s="302">
        <v>1.3869966555346327</v>
      </c>
      <c r="L674" s="302">
        <f t="shared" si="252"/>
        <v>3.4296710815259561</v>
      </c>
      <c r="M674" s="236"/>
      <c r="N674" s="236"/>
    </row>
    <row r="675" spans="1:14" x14ac:dyDescent="0.2">
      <c r="A675" s="237" t="str">
        <f>name!E$7</f>
        <v>Administrative and secretarial occupations</v>
      </c>
      <c r="B675" s="302">
        <v>2.9798216807059354</v>
      </c>
      <c r="C675" s="302">
        <v>1.4344288011366533</v>
      </c>
      <c r="D675" s="302">
        <f t="shared" si="250"/>
        <v>4.4142504818425889</v>
      </c>
      <c r="E675" s="303"/>
      <c r="F675" s="302">
        <v>2.9875884777960371</v>
      </c>
      <c r="G675" s="302">
        <v>1.4319218529015267</v>
      </c>
      <c r="H675" s="302">
        <f t="shared" si="251"/>
        <v>4.4195103306975643</v>
      </c>
      <c r="I675" s="303"/>
      <c r="J675" s="302">
        <v>3.764557092009166</v>
      </c>
      <c r="K675" s="302">
        <v>2.1254046050613362</v>
      </c>
      <c r="L675" s="302">
        <f t="shared" si="252"/>
        <v>5.8899616970705022</v>
      </c>
      <c r="M675" s="236"/>
      <c r="N675" s="236"/>
    </row>
    <row r="676" spans="1:14" x14ac:dyDescent="0.2">
      <c r="A676" s="237" t="str">
        <f>name!E$8</f>
        <v>Skilled trades occupations</v>
      </c>
      <c r="B676" s="302">
        <v>3.6754971619788641</v>
      </c>
      <c r="C676" s="302">
        <v>4.9243567577068568</v>
      </c>
      <c r="D676" s="302">
        <f t="shared" si="250"/>
        <v>8.5998539196857209</v>
      </c>
      <c r="E676" s="303"/>
      <c r="F676" s="302">
        <v>3.5916969062181039</v>
      </c>
      <c r="G676" s="302">
        <v>4.026634742613302</v>
      </c>
      <c r="H676" s="302">
        <f t="shared" si="251"/>
        <v>7.6183316488314059</v>
      </c>
      <c r="I676" s="303"/>
      <c r="J676" s="302">
        <v>4.2002751446555919</v>
      </c>
      <c r="K676" s="302">
        <v>3.657193619907702</v>
      </c>
      <c r="L676" s="302">
        <f t="shared" si="252"/>
        <v>7.8574687645632935</v>
      </c>
      <c r="M676" s="236"/>
      <c r="N676" s="236"/>
    </row>
    <row r="677" spans="1:14" x14ac:dyDescent="0.2">
      <c r="A677" s="237" t="str">
        <f>name!E$9</f>
        <v>Caring, leisure and other service occupations</v>
      </c>
      <c r="B677" s="302">
        <v>2.6987659571943414</v>
      </c>
      <c r="C677" s="302">
        <v>0.54403592126605149</v>
      </c>
      <c r="D677" s="302">
        <f t="shared" si="250"/>
        <v>3.2428018784603929</v>
      </c>
      <c r="E677" s="303"/>
      <c r="F677" s="302">
        <v>2.6393991063159321</v>
      </c>
      <c r="G677" s="302">
        <v>0.64875787109082927</v>
      </c>
      <c r="H677" s="302">
        <f t="shared" si="251"/>
        <v>3.2881569774067616</v>
      </c>
      <c r="I677" s="303"/>
      <c r="J677" s="302">
        <v>3.681590042729399</v>
      </c>
      <c r="K677" s="302">
        <v>0.79706719612714683</v>
      </c>
      <c r="L677" s="302">
        <f t="shared" si="252"/>
        <v>4.4786572388565462</v>
      </c>
      <c r="M677" s="236"/>
      <c r="N677" s="236"/>
    </row>
    <row r="678" spans="1:14" x14ac:dyDescent="0.2">
      <c r="A678" s="237" t="str">
        <f>name!E$10</f>
        <v>Sales and customer service occupations</v>
      </c>
      <c r="B678" s="302">
        <v>3.9475771532901271</v>
      </c>
      <c r="C678" s="302">
        <v>2.6012653392576706</v>
      </c>
      <c r="D678" s="302">
        <f t="shared" si="250"/>
        <v>6.5488424925477977</v>
      </c>
      <c r="E678" s="303"/>
      <c r="F678" s="302">
        <v>4.1433831185588845</v>
      </c>
      <c r="G678" s="302">
        <v>2.8074275032180886</v>
      </c>
      <c r="H678" s="302">
        <f t="shared" si="251"/>
        <v>6.9508106217769736</v>
      </c>
      <c r="I678" s="303"/>
      <c r="J678" s="302">
        <v>5.7522115528445665</v>
      </c>
      <c r="K678" s="302">
        <v>3.7671124378864458</v>
      </c>
      <c r="L678" s="302">
        <f t="shared" si="252"/>
        <v>9.5193239907310119</v>
      </c>
      <c r="M678" s="236"/>
      <c r="N678" s="236"/>
    </row>
    <row r="679" spans="1:14" x14ac:dyDescent="0.2">
      <c r="A679" s="237" t="str">
        <f>name!E$11</f>
        <v>Process, plant and machine operatives</v>
      </c>
      <c r="B679" s="302">
        <v>0.40634604556467091</v>
      </c>
      <c r="C679" s="302">
        <v>1.1665358671853183</v>
      </c>
      <c r="D679" s="302">
        <f t="shared" si="250"/>
        <v>1.5728819127499891</v>
      </c>
      <c r="E679" s="303"/>
      <c r="F679" s="302">
        <v>0.34354114620319132</v>
      </c>
      <c r="G679" s="302">
        <v>1.3262843901124794</v>
      </c>
      <c r="H679" s="302">
        <f t="shared" si="251"/>
        <v>1.6698255363156709</v>
      </c>
      <c r="I679" s="303"/>
      <c r="J679" s="302">
        <v>1.0355398041581658</v>
      </c>
      <c r="K679" s="302">
        <v>1.8692040584023326</v>
      </c>
      <c r="L679" s="302">
        <f t="shared" si="252"/>
        <v>2.9047438625604984</v>
      </c>
      <c r="M679" s="236"/>
      <c r="N679" s="236"/>
    </row>
    <row r="680" spans="1:14" x14ac:dyDescent="0.2">
      <c r="A680" s="237" t="str">
        <f>name!E$12</f>
        <v>Elementary occupations</v>
      </c>
      <c r="B680" s="302">
        <v>15.154189754613107</v>
      </c>
      <c r="C680" s="302">
        <v>6.9357626763806826</v>
      </c>
      <c r="D680" s="302">
        <f t="shared" si="250"/>
        <v>22.08995243099379</v>
      </c>
      <c r="E680" s="303"/>
      <c r="F680" s="302">
        <v>15.785806289557012</v>
      </c>
      <c r="G680" s="302">
        <v>7.9438492348144303</v>
      </c>
      <c r="H680" s="302">
        <f t="shared" si="251"/>
        <v>23.729655524371442</v>
      </c>
      <c r="I680" s="303"/>
      <c r="J680" s="302">
        <v>18.998074943004021</v>
      </c>
      <c r="K680" s="302">
        <v>9.2741566117028071</v>
      </c>
      <c r="L680" s="302">
        <f t="shared" si="252"/>
        <v>28.272231554706828</v>
      </c>
      <c r="M680" s="236"/>
      <c r="N680" s="236"/>
    </row>
    <row r="681" spans="1:14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2">
      <c r="A682" s="244" t="s">
        <v>32</v>
      </c>
      <c r="B682" s="311">
        <f>SUM(B672:B680)</f>
        <v>37.137999999928901</v>
      </c>
      <c r="C682" s="311">
        <f t="shared" ref="C682:D682" si="253">SUM(C672:C680)</f>
        <v>27.575000000145764</v>
      </c>
      <c r="D682" s="311">
        <f t="shared" si="253"/>
        <v>64.713000000074672</v>
      </c>
      <c r="E682" s="311"/>
      <c r="F682" s="311">
        <f t="shared" ref="F682:H682" si="254">SUM(F672:F680)</f>
        <v>39.384000000635496</v>
      </c>
      <c r="G682" s="311">
        <f t="shared" si="254"/>
        <v>29.229000000101824</v>
      </c>
      <c r="H682" s="311">
        <f t="shared" si="254"/>
        <v>68.61300000073733</v>
      </c>
      <c r="I682" s="311"/>
      <c r="J682" s="311">
        <f t="shared" ref="J682:L682" si="255">SUM(J672:J680)</f>
        <v>50.64599999943438</v>
      </c>
      <c r="K682" s="311">
        <f t="shared" si="255"/>
        <v>35.919000000014378</v>
      </c>
      <c r="L682" s="311">
        <f t="shared" si="255"/>
        <v>86.564999999448759</v>
      </c>
      <c r="M682" s="236"/>
      <c r="N682" s="236"/>
    </row>
    <row r="683" spans="1:14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2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2">
      <c r="A686" s="241" t="str">
        <f>name!A43</f>
        <v>Food and beverage services</v>
      </c>
      <c r="B686" s="372">
        <f>B$6</f>
        <v>2015</v>
      </c>
      <c r="C686" s="372"/>
      <c r="D686" s="372"/>
      <c r="E686" s="253"/>
      <c r="F686" s="372">
        <f>F669</f>
        <v>2020</v>
      </c>
      <c r="G686" s="372"/>
      <c r="H686" s="372"/>
      <c r="I686" s="253"/>
      <c r="J686" s="372">
        <f>J669</f>
        <v>2035</v>
      </c>
      <c r="K686" s="372"/>
      <c r="L686" s="372"/>
      <c r="M686" s="236"/>
      <c r="N686" s="236"/>
    </row>
    <row r="687" spans="1:14" x14ac:dyDescent="0.2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2">
      <c r="A689" s="237" t="str">
        <f>name!E$4</f>
        <v>Managers, directors and senior officials</v>
      </c>
      <c r="B689" s="302">
        <v>8.8648174336189793</v>
      </c>
      <c r="C689" s="302">
        <v>15.143398963378338</v>
      </c>
      <c r="D689" s="302">
        <f>SUM(B689:C689)</f>
        <v>24.008216396997319</v>
      </c>
      <c r="E689" s="303"/>
      <c r="F689" s="302">
        <v>11.546229256818911</v>
      </c>
      <c r="G689" s="302">
        <v>16.664376957900547</v>
      </c>
      <c r="H689" s="302">
        <f>SUM(F689:G689)</f>
        <v>28.210606214719459</v>
      </c>
      <c r="I689" s="303"/>
      <c r="J689" s="302">
        <v>15.245883443243857</v>
      </c>
      <c r="K689" s="302">
        <v>24.111041024478581</v>
      </c>
      <c r="L689" s="302">
        <f>SUM(J689:K689)</f>
        <v>39.356924467722436</v>
      </c>
      <c r="M689" s="236"/>
      <c r="N689" s="236"/>
    </row>
    <row r="690" spans="1:14" x14ac:dyDescent="0.2">
      <c r="A690" s="237" t="str">
        <f>name!E$5</f>
        <v>Professional occupations</v>
      </c>
      <c r="B690" s="302">
        <v>2.053636711595257</v>
      </c>
      <c r="C690" s="302">
        <v>3.1227071968560112</v>
      </c>
      <c r="D690" s="302">
        <f t="shared" ref="D690:D697" si="256">SUM(B690:C690)</f>
        <v>5.1763439084512681</v>
      </c>
      <c r="E690" s="303"/>
      <c r="F690" s="302">
        <v>3.0786605066324846</v>
      </c>
      <c r="G690" s="302">
        <v>4.3146723134304237</v>
      </c>
      <c r="H690" s="302">
        <f t="shared" ref="H690:H697" si="257">SUM(F690:G690)</f>
        <v>7.3933328200629083</v>
      </c>
      <c r="I690" s="303"/>
      <c r="J690" s="302">
        <v>3.8138611864240746</v>
      </c>
      <c r="K690" s="302">
        <v>5.4420514320171298</v>
      </c>
      <c r="L690" s="302">
        <f t="shared" ref="L690:L697" si="258">SUM(J690:K690)</f>
        <v>9.2559126184412044</v>
      </c>
      <c r="M690" s="236"/>
      <c r="N690" s="236"/>
    </row>
    <row r="691" spans="1:14" x14ac:dyDescent="0.2">
      <c r="A691" s="237" t="str">
        <f>name!E$6</f>
        <v>Associate professional occupations</v>
      </c>
      <c r="B691" s="302">
        <v>2.4857585045207644</v>
      </c>
      <c r="C691" s="302">
        <v>2.5138266965410905</v>
      </c>
      <c r="D691" s="302">
        <f t="shared" si="256"/>
        <v>4.9995852010618549</v>
      </c>
      <c r="E691" s="303"/>
      <c r="F691" s="302">
        <v>3.4879686900376146</v>
      </c>
      <c r="G691" s="302">
        <v>3.3226982779739691</v>
      </c>
      <c r="H691" s="302">
        <f t="shared" si="257"/>
        <v>6.8106669680115832</v>
      </c>
      <c r="I691" s="303"/>
      <c r="J691" s="302">
        <v>4.5588745130699282</v>
      </c>
      <c r="K691" s="302">
        <v>3.561532297056043</v>
      </c>
      <c r="L691" s="302">
        <f t="shared" si="258"/>
        <v>8.1204068101259708</v>
      </c>
      <c r="M691" s="236"/>
      <c r="N691" s="236"/>
    </row>
    <row r="692" spans="1:14" x14ac:dyDescent="0.2">
      <c r="A692" s="237" t="str">
        <f>name!E$7</f>
        <v>Administrative and secretarial occupations</v>
      </c>
      <c r="B692" s="302">
        <v>5.90883482344322</v>
      </c>
      <c r="C692" s="302">
        <v>2.921878531034392</v>
      </c>
      <c r="D692" s="302">
        <f t="shared" si="256"/>
        <v>8.8307133544776129</v>
      </c>
      <c r="E692" s="303"/>
      <c r="F692" s="302">
        <v>7.173771443356654</v>
      </c>
      <c r="G692" s="302">
        <v>3.2709228899535971</v>
      </c>
      <c r="H692" s="302">
        <f t="shared" si="257"/>
        <v>10.444694333310251</v>
      </c>
      <c r="I692" s="303"/>
      <c r="J692" s="302">
        <v>8.9815024435971598</v>
      </c>
      <c r="K692" s="302">
        <v>4.8658343265527213</v>
      </c>
      <c r="L692" s="302">
        <f t="shared" si="258"/>
        <v>13.84733677014988</v>
      </c>
      <c r="M692" s="236"/>
      <c r="N692" s="236"/>
    </row>
    <row r="693" spans="1:14" x14ac:dyDescent="0.2">
      <c r="A693" s="237" t="str">
        <f>name!E$8</f>
        <v>Skilled trades occupations</v>
      </c>
      <c r="B693" s="302">
        <v>6.6719786663441178</v>
      </c>
      <c r="C693" s="302">
        <v>12.202779215844775</v>
      </c>
      <c r="D693" s="302">
        <f t="shared" si="256"/>
        <v>18.874757882188892</v>
      </c>
      <c r="E693" s="303"/>
      <c r="F693" s="302">
        <v>7.3716331147032985</v>
      </c>
      <c r="G693" s="302">
        <v>11.277338050314372</v>
      </c>
      <c r="H693" s="302">
        <f t="shared" si="257"/>
        <v>18.64897116501767</v>
      </c>
      <c r="I693" s="303"/>
      <c r="J693" s="302">
        <v>7.9155739946807318</v>
      </c>
      <c r="K693" s="302">
        <v>10.516564488712628</v>
      </c>
      <c r="L693" s="302">
        <f t="shared" si="258"/>
        <v>18.432138483393359</v>
      </c>
      <c r="M693" s="236"/>
      <c r="N693" s="236"/>
    </row>
    <row r="694" spans="1:14" x14ac:dyDescent="0.2">
      <c r="A694" s="237" t="str">
        <f>name!E$9</f>
        <v>Caring, leisure and other service occupations</v>
      </c>
      <c r="B694" s="302">
        <v>5.3958922739724695</v>
      </c>
      <c r="C694" s="302">
        <v>1.3887751049130472</v>
      </c>
      <c r="D694" s="302">
        <f t="shared" si="256"/>
        <v>6.7846673788855165</v>
      </c>
      <c r="E694" s="303"/>
      <c r="F694" s="302">
        <v>6.0748078839476198</v>
      </c>
      <c r="G694" s="302">
        <v>1.9142850047843323</v>
      </c>
      <c r="H694" s="302">
        <f t="shared" si="257"/>
        <v>7.9890928887319523</v>
      </c>
      <c r="I694" s="303"/>
      <c r="J694" s="302">
        <v>7.876116142474479</v>
      </c>
      <c r="K694" s="302">
        <v>2.2932079627516222</v>
      </c>
      <c r="L694" s="302">
        <f t="shared" si="258"/>
        <v>10.169324105226101</v>
      </c>
      <c r="M694" s="236"/>
      <c r="N694" s="236"/>
    </row>
    <row r="695" spans="1:14" x14ac:dyDescent="0.2">
      <c r="A695" s="237" t="str">
        <f>name!E$10</f>
        <v>Sales and customer service occupations</v>
      </c>
      <c r="B695" s="302">
        <v>8.6031043001540564</v>
      </c>
      <c r="C695" s="302">
        <v>6.7556133816726209</v>
      </c>
      <c r="D695" s="302">
        <f t="shared" si="256"/>
        <v>15.358717681826677</v>
      </c>
      <c r="E695" s="303"/>
      <c r="F695" s="302">
        <v>10.789832859405227</v>
      </c>
      <c r="G695" s="302">
        <v>8.0625019987593696</v>
      </c>
      <c r="H695" s="302">
        <f t="shared" si="257"/>
        <v>18.852334858164596</v>
      </c>
      <c r="I695" s="303"/>
      <c r="J695" s="302">
        <v>14.549249858219255</v>
      </c>
      <c r="K695" s="302">
        <v>10.434448615272665</v>
      </c>
      <c r="L695" s="302">
        <f t="shared" si="258"/>
        <v>24.98369847349192</v>
      </c>
      <c r="M695" s="236"/>
      <c r="N695" s="236"/>
    </row>
    <row r="696" spans="1:14" x14ac:dyDescent="0.2">
      <c r="A696" s="237" t="str">
        <f>name!E$11</f>
        <v>Process, plant and machine operatives</v>
      </c>
      <c r="B696" s="302">
        <v>0.83506846626524911</v>
      </c>
      <c r="C696" s="302">
        <v>3.4076316163215177</v>
      </c>
      <c r="D696" s="302">
        <f t="shared" si="256"/>
        <v>4.2427000825867669</v>
      </c>
      <c r="E696" s="303"/>
      <c r="F696" s="302">
        <v>0.85212083992935128</v>
      </c>
      <c r="G696" s="302">
        <v>4.7979495922808137</v>
      </c>
      <c r="H696" s="302">
        <f t="shared" si="257"/>
        <v>5.6500704322101649</v>
      </c>
      <c r="I696" s="303"/>
      <c r="J696" s="302">
        <v>2.6021333094589836</v>
      </c>
      <c r="K696" s="302">
        <v>6.9959417524553826</v>
      </c>
      <c r="L696" s="302">
        <f t="shared" si="258"/>
        <v>9.5980750619143667</v>
      </c>
      <c r="M696" s="236"/>
      <c r="N696" s="236"/>
    </row>
    <row r="697" spans="1:14" x14ac:dyDescent="0.2">
      <c r="A697" s="237" t="str">
        <f>name!E$12</f>
        <v>Elementary occupations</v>
      </c>
      <c r="B697" s="302">
        <v>38.908908820085472</v>
      </c>
      <c r="C697" s="302">
        <v>24.744389294016091</v>
      </c>
      <c r="D697" s="302">
        <f t="shared" si="256"/>
        <v>63.65329811410156</v>
      </c>
      <c r="E697" s="303"/>
      <c r="F697" s="302">
        <v>46.374975407373832</v>
      </c>
      <c r="G697" s="302">
        <v>32.339254914944412</v>
      </c>
      <c r="H697" s="302">
        <f t="shared" si="257"/>
        <v>78.714230322318244</v>
      </c>
      <c r="I697" s="303"/>
      <c r="J697" s="302">
        <v>50.021805107459357</v>
      </c>
      <c r="K697" s="302">
        <v>36.050378100775923</v>
      </c>
      <c r="L697" s="302">
        <f t="shared" si="258"/>
        <v>86.072183208235288</v>
      </c>
      <c r="M697" s="236"/>
      <c r="N697" s="236"/>
    </row>
    <row r="698" spans="1:14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2">
      <c r="A699" s="244" t="s">
        <v>32</v>
      </c>
      <c r="B699" s="311">
        <f>SUM(B689:B697)</f>
        <v>79.727999999999582</v>
      </c>
      <c r="C699" s="311">
        <f t="shared" ref="C699:D699" si="259">SUM(C689:C697)</f>
        <v>72.201000000577892</v>
      </c>
      <c r="D699" s="311">
        <f t="shared" si="259"/>
        <v>151.92900000057745</v>
      </c>
      <c r="E699" s="311"/>
      <c r="F699" s="311">
        <f t="shared" ref="F699:H699" si="260">SUM(F689:F697)</f>
        <v>96.750000002204985</v>
      </c>
      <c r="G699" s="311">
        <f t="shared" si="260"/>
        <v>85.964000000341827</v>
      </c>
      <c r="H699" s="311">
        <f t="shared" si="260"/>
        <v>182.71400000254681</v>
      </c>
      <c r="I699" s="311"/>
      <c r="J699" s="311">
        <f t="shared" ref="J699:L699" si="261">SUM(J689:J697)</f>
        <v>115.56499999862783</v>
      </c>
      <c r="K699" s="311">
        <f t="shared" si="261"/>
        <v>104.27100000007269</v>
      </c>
      <c r="L699" s="311">
        <f t="shared" si="261"/>
        <v>219.83599999870052</v>
      </c>
      <c r="M699" s="236"/>
      <c r="N699" s="236"/>
    </row>
    <row r="700" spans="1:14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2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2">
      <c r="A703" s="241" t="str">
        <f>name!A44</f>
        <v>Publishing activities</v>
      </c>
      <c r="B703" s="372">
        <f>B$6</f>
        <v>2015</v>
      </c>
      <c r="C703" s="372"/>
      <c r="D703" s="372"/>
      <c r="E703" s="253"/>
      <c r="F703" s="372">
        <f>F686</f>
        <v>2020</v>
      </c>
      <c r="G703" s="372"/>
      <c r="H703" s="372"/>
      <c r="I703" s="253"/>
      <c r="J703" s="372">
        <f>J686</f>
        <v>2035</v>
      </c>
      <c r="K703" s="372"/>
      <c r="L703" s="372"/>
      <c r="M703" s="236"/>
      <c r="N703" s="236"/>
    </row>
    <row r="704" spans="1:14" x14ac:dyDescent="0.2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2">
      <c r="A706" s="237" t="str">
        <f>name!E$4</f>
        <v>Managers, directors and senior officials</v>
      </c>
      <c r="B706" s="302">
        <v>0.30055024931005969</v>
      </c>
      <c r="C706" s="302">
        <v>1.1344026290959373</v>
      </c>
      <c r="D706" s="302">
        <f>SUM(B706:C706)</f>
        <v>1.4349528784059968</v>
      </c>
      <c r="E706" s="303"/>
      <c r="F706" s="302">
        <v>0.53308682326799439</v>
      </c>
      <c r="G706" s="302">
        <v>1.4809573457378067</v>
      </c>
      <c r="H706" s="302">
        <f>SUM(F706:G706)</f>
        <v>2.0140441690058011</v>
      </c>
      <c r="I706" s="303"/>
      <c r="J706" s="302">
        <v>0.51388449985023221</v>
      </c>
      <c r="K706" s="302">
        <v>1.5873987534897687</v>
      </c>
      <c r="L706" s="302">
        <f>SUM(J706:K706)</f>
        <v>2.101283253340001</v>
      </c>
      <c r="M706" s="236"/>
      <c r="N706" s="236"/>
    </row>
    <row r="707" spans="1:14" x14ac:dyDescent="0.2">
      <c r="A707" s="237" t="str">
        <f>name!E$5</f>
        <v>Professional occupations</v>
      </c>
      <c r="B707" s="302">
        <v>0.44568360862312228</v>
      </c>
      <c r="C707" s="302">
        <v>1.4189385035195563</v>
      </c>
      <c r="D707" s="302">
        <f t="shared" ref="D707:D714" si="262">SUM(B707:C707)</f>
        <v>1.8646221121426785</v>
      </c>
      <c r="E707" s="303"/>
      <c r="F707" s="302">
        <v>0.74975531174821508</v>
      </c>
      <c r="G707" s="302">
        <v>2.0036361125248816</v>
      </c>
      <c r="H707" s="302">
        <f t="shared" ref="H707:H714" si="263">SUM(F707:G707)</f>
        <v>2.7533914242730968</v>
      </c>
      <c r="I707" s="303"/>
      <c r="J707" s="302">
        <v>0.73807634945656397</v>
      </c>
      <c r="K707" s="302">
        <v>2.1740230531799707</v>
      </c>
      <c r="L707" s="302">
        <f t="shared" ref="L707:L714" si="264">SUM(J707:K707)</f>
        <v>2.9120994026365348</v>
      </c>
      <c r="M707" s="236"/>
      <c r="N707" s="236"/>
    </row>
    <row r="708" spans="1:14" x14ac:dyDescent="0.2">
      <c r="A708" s="237" t="str">
        <f>name!E$6</f>
        <v>Associate professional occupations</v>
      </c>
      <c r="B708" s="302">
        <v>1.0021708384775148</v>
      </c>
      <c r="C708" s="302">
        <v>0.84133121536637123</v>
      </c>
      <c r="D708" s="302">
        <f t="shared" si="262"/>
        <v>1.843502053843886</v>
      </c>
      <c r="E708" s="303"/>
      <c r="F708" s="302">
        <v>1.696008834863767</v>
      </c>
      <c r="G708" s="302">
        <v>1.1450276845153704</v>
      </c>
      <c r="H708" s="302">
        <f t="shared" si="263"/>
        <v>2.8410365193791374</v>
      </c>
      <c r="I708" s="303"/>
      <c r="J708" s="302">
        <v>1.5497733889163015</v>
      </c>
      <c r="K708" s="302">
        <v>0.99951904900020794</v>
      </c>
      <c r="L708" s="302">
        <f t="shared" si="264"/>
        <v>2.5492924379165096</v>
      </c>
      <c r="M708" s="236"/>
      <c r="N708" s="236"/>
    </row>
    <row r="709" spans="1:14" x14ac:dyDescent="0.2">
      <c r="A709" s="237" t="str">
        <f>name!E$7</f>
        <v>Administrative and secretarial occupations</v>
      </c>
      <c r="B709" s="302">
        <v>0.36246542729590375</v>
      </c>
      <c r="C709" s="302">
        <v>0.22457446118293303</v>
      </c>
      <c r="D709" s="302">
        <f t="shared" si="262"/>
        <v>0.58703988847883681</v>
      </c>
      <c r="E709" s="303"/>
      <c r="F709" s="302">
        <v>0.49328559642029929</v>
      </c>
      <c r="G709" s="302">
        <v>0.34180341962120347</v>
      </c>
      <c r="H709" s="302">
        <f t="shared" si="263"/>
        <v>0.83508901604150276</v>
      </c>
      <c r="I709" s="303"/>
      <c r="J709" s="302">
        <v>0.2956251076219889</v>
      </c>
      <c r="K709" s="302">
        <v>0.26799247485151262</v>
      </c>
      <c r="L709" s="302">
        <f t="shared" si="264"/>
        <v>0.56361758247350147</v>
      </c>
      <c r="M709" s="236"/>
      <c r="N709" s="236"/>
    </row>
    <row r="710" spans="1:14" x14ac:dyDescent="0.2">
      <c r="A710" s="237" t="str">
        <f>name!E$8</f>
        <v>Skilled trades occupations</v>
      </c>
      <c r="B710" s="302">
        <v>0.12964904720101844</v>
      </c>
      <c r="C710" s="302">
        <v>1.1909646914187189</v>
      </c>
      <c r="D710" s="302">
        <f t="shared" si="262"/>
        <v>1.3206137386197372</v>
      </c>
      <c r="E710" s="303"/>
      <c r="F710" s="302">
        <v>0.20595026657130366</v>
      </c>
      <c r="G710" s="302">
        <v>1.0433522410428751</v>
      </c>
      <c r="H710" s="302">
        <f t="shared" si="263"/>
        <v>1.2493025076141788</v>
      </c>
      <c r="I710" s="303"/>
      <c r="J710" s="302">
        <v>0.33010856050146392</v>
      </c>
      <c r="K710" s="302">
        <v>0.84837789983635825</v>
      </c>
      <c r="L710" s="302">
        <f t="shared" si="264"/>
        <v>1.1784864603378222</v>
      </c>
      <c r="M710" s="236"/>
      <c r="N710" s="236"/>
    </row>
    <row r="711" spans="1:14" x14ac:dyDescent="0.2">
      <c r="A711" s="237" t="str">
        <f>name!E$9</f>
        <v>Caring, leisure and other service occupations</v>
      </c>
      <c r="B711" s="302">
        <v>3.8988611540885579E-2</v>
      </c>
      <c r="C711" s="302">
        <v>5.7090539787431498E-2</v>
      </c>
      <c r="D711" s="302">
        <f t="shared" si="262"/>
        <v>9.607915132831707E-2</v>
      </c>
      <c r="E711" s="303"/>
      <c r="F711" s="302">
        <v>6.3722424778728456E-2</v>
      </c>
      <c r="G711" s="302">
        <v>9.2134404699594954E-2</v>
      </c>
      <c r="H711" s="302">
        <f t="shared" si="263"/>
        <v>0.15585682947832341</v>
      </c>
      <c r="I711" s="303"/>
      <c r="J711" s="302">
        <v>5.23029570208145E-2</v>
      </c>
      <c r="K711" s="302">
        <v>0.12634282258407337</v>
      </c>
      <c r="L711" s="302">
        <f t="shared" si="264"/>
        <v>0.17864577960488787</v>
      </c>
      <c r="M711" s="236"/>
      <c r="N711" s="236"/>
    </row>
    <row r="712" spans="1:14" x14ac:dyDescent="0.2">
      <c r="A712" s="237" t="str">
        <f>name!E$10</f>
        <v>Sales and customer service occupations</v>
      </c>
      <c r="B712" s="302">
        <v>0.17138611894390601</v>
      </c>
      <c r="C712" s="302">
        <v>0.19956327569821519</v>
      </c>
      <c r="D712" s="302">
        <f t="shared" si="262"/>
        <v>0.37094939464212118</v>
      </c>
      <c r="E712" s="303"/>
      <c r="F712" s="302">
        <v>0.19869644836983455</v>
      </c>
      <c r="G712" s="302">
        <v>0.2478500575556</v>
      </c>
      <c r="H712" s="302">
        <f t="shared" si="263"/>
        <v>0.44654650592543454</v>
      </c>
      <c r="I712" s="303"/>
      <c r="J712" s="302">
        <v>0.16372851224617166</v>
      </c>
      <c r="K712" s="302">
        <v>0.29760813999429725</v>
      </c>
      <c r="L712" s="302">
        <f t="shared" si="264"/>
        <v>0.46133665224046894</v>
      </c>
      <c r="M712" s="236"/>
      <c r="N712" s="236"/>
    </row>
    <row r="713" spans="1:14" x14ac:dyDescent="0.2">
      <c r="A713" s="237" t="str">
        <f>name!E$11</f>
        <v>Process, plant and machine operatives</v>
      </c>
      <c r="B713" s="302">
        <v>3.1461917540738731E-2</v>
      </c>
      <c r="C713" s="302">
        <v>0.21530891766238455</v>
      </c>
      <c r="D713" s="302">
        <f t="shared" si="262"/>
        <v>0.24677083520312329</v>
      </c>
      <c r="E713" s="303"/>
      <c r="F713" s="302">
        <v>4.142063711939812E-2</v>
      </c>
      <c r="G713" s="302">
        <v>0.31044309479602616</v>
      </c>
      <c r="H713" s="302">
        <f t="shared" si="263"/>
        <v>0.3518637319154243</v>
      </c>
      <c r="I713" s="303"/>
      <c r="J713" s="302">
        <v>2.0681712628884748E-2</v>
      </c>
      <c r="K713" s="302">
        <v>0.28048573012120775</v>
      </c>
      <c r="L713" s="302">
        <f t="shared" si="264"/>
        <v>0.3011674427500925</v>
      </c>
      <c r="M713" s="236"/>
      <c r="N713" s="236"/>
    </row>
    <row r="714" spans="1:14" x14ac:dyDescent="0.2">
      <c r="A714" s="237" t="str">
        <f>name!E$12</f>
        <v>Elementary occupations</v>
      </c>
      <c r="B714" s="302">
        <v>7.9644181102345613E-2</v>
      </c>
      <c r="C714" s="302">
        <v>0.36882576627069841</v>
      </c>
      <c r="D714" s="302">
        <f t="shared" si="262"/>
        <v>0.44846994737304402</v>
      </c>
      <c r="E714" s="303"/>
      <c r="F714" s="302">
        <v>8.6073656762631179E-2</v>
      </c>
      <c r="G714" s="302">
        <v>0.4457956394590466</v>
      </c>
      <c r="H714" s="302">
        <f t="shared" si="263"/>
        <v>0.53186929622167778</v>
      </c>
      <c r="I714" s="303"/>
      <c r="J714" s="302">
        <v>4.1818911789548774E-2</v>
      </c>
      <c r="K714" s="302">
        <v>0.22725207689609572</v>
      </c>
      <c r="L714" s="302">
        <f t="shared" si="264"/>
        <v>0.2690709886856445</v>
      </c>
      <c r="M714" s="236"/>
      <c r="N714" s="236"/>
    </row>
    <row r="715" spans="1:14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2">
      <c r="A716" s="244" t="s">
        <v>32</v>
      </c>
      <c r="B716" s="311">
        <f>SUM(B706:B714)</f>
        <v>2.5620000000354946</v>
      </c>
      <c r="C716" s="311">
        <f t="shared" ref="C716:D716" si="265">SUM(C706:C714)</f>
        <v>5.651000000002246</v>
      </c>
      <c r="D716" s="311">
        <f t="shared" si="265"/>
        <v>8.2130000000377414</v>
      </c>
      <c r="E716" s="311"/>
      <c r="F716" s="311">
        <f t="shared" ref="F716:H716" si="266">SUM(F706:F714)</f>
        <v>4.0679999999021712</v>
      </c>
      <c r="G716" s="311">
        <f t="shared" si="266"/>
        <v>7.1109999999524058</v>
      </c>
      <c r="H716" s="311">
        <f t="shared" si="266"/>
        <v>11.178999999854575</v>
      </c>
      <c r="I716" s="311"/>
      <c r="J716" s="311">
        <f t="shared" ref="J716:L716" si="267">SUM(J706:J714)</f>
        <v>3.7060000000319708</v>
      </c>
      <c r="K716" s="311">
        <f t="shared" si="267"/>
        <v>6.8089999999534916</v>
      </c>
      <c r="L716" s="311">
        <f t="shared" si="267"/>
        <v>10.514999999985463</v>
      </c>
      <c r="M716" s="236"/>
      <c r="N716" s="236"/>
    </row>
    <row r="717" spans="1:14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2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2">
      <c r="A720" s="241" t="str">
        <f>name!A45</f>
        <v>Film and music</v>
      </c>
      <c r="B720" s="372">
        <f>B$6</f>
        <v>2015</v>
      </c>
      <c r="C720" s="372"/>
      <c r="D720" s="372"/>
      <c r="E720" s="253"/>
      <c r="F720" s="372">
        <f>F703</f>
        <v>2020</v>
      </c>
      <c r="G720" s="372"/>
      <c r="H720" s="372"/>
      <c r="I720" s="253"/>
      <c r="J720" s="372">
        <f>J703</f>
        <v>2035</v>
      </c>
      <c r="K720" s="372"/>
      <c r="L720" s="372"/>
      <c r="M720" s="236"/>
      <c r="N720" s="236"/>
    </row>
    <row r="721" spans="1:14" x14ac:dyDescent="0.2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2">
      <c r="A723" s="237" t="str">
        <f>name!E$4</f>
        <v>Managers, directors and senior officials</v>
      </c>
      <c r="B723" s="302">
        <v>0.30701251904899696</v>
      </c>
      <c r="C723" s="302">
        <v>0.30408315948710501</v>
      </c>
      <c r="D723" s="302">
        <f>SUM(B723:C723)</f>
        <v>0.61109567853610192</v>
      </c>
      <c r="E723" s="303"/>
      <c r="F723" s="302">
        <v>0.4632346538142445</v>
      </c>
      <c r="G723" s="302">
        <v>0.37722477609231331</v>
      </c>
      <c r="H723" s="302">
        <f>SUM(F723:G723)</f>
        <v>0.84045942990655775</v>
      </c>
      <c r="I723" s="303"/>
      <c r="J723" s="302">
        <v>0.48574098012645139</v>
      </c>
      <c r="K723" s="302">
        <v>0.40556670040497467</v>
      </c>
      <c r="L723" s="302">
        <f>SUM(J723:K723)</f>
        <v>0.89130768053142606</v>
      </c>
      <c r="M723" s="236"/>
      <c r="N723" s="236"/>
    </row>
    <row r="724" spans="1:14" x14ac:dyDescent="0.2">
      <c r="A724" s="237" t="str">
        <f>name!E$5</f>
        <v>Professional occupations</v>
      </c>
      <c r="B724" s="302">
        <v>0.67599188372923691</v>
      </c>
      <c r="C724" s="302">
        <v>0.40736290221823768</v>
      </c>
      <c r="D724" s="302">
        <f t="shared" ref="D724:D731" si="268">SUM(B724:C724)</f>
        <v>1.0833547859474746</v>
      </c>
      <c r="E724" s="303"/>
      <c r="F724" s="302">
        <v>1.1139984464055106</v>
      </c>
      <c r="G724" s="302">
        <v>0.48087978172727969</v>
      </c>
      <c r="H724" s="302">
        <f t="shared" ref="H724:H731" si="269">SUM(F724:G724)</f>
        <v>1.5948782281327902</v>
      </c>
      <c r="I724" s="303"/>
      <c r="J724" s="302">
        <v>1.2557043298477721</v>
      </c>
      <c r="K724" s="302">
        <v>0.49833233356709344</v>
      </c>
      <c r="L724" s="302">
        <f t="shared" ref="L724:L731" si="270">SUM(J724:K724)</f>
        <v>1.7540366634148656</v>
      </c>
      <c r="M724" s="236"/>
      <c r="N724" s="236"/>
    </row>
    <row r="725" spans="1:14" x14ac:dyDescent="0.2">
      <c r="A725" s="237" t="str">
        <f>name!E$6</f>
        <v>Associate professional occupations</v>
      </c>
      <c r="B725" s="302">
        <v>0.99083670710828042</v>
      </c>
      <c r="C725" s="302">
        <v>0.99374690610995975</v>
      </c>
      <c r="D725" s="302">
        <f t="shared" si="268"/>
        <v>1.9845836132182402</v>
      </c>
      <c r="E725" s="303"/>
      <c r="F725" s="302">
        <v>1.3367776956247039</v>
      </c>
      <c r="G725" s="302">
        <v>0.86833550295306439</v>
      </c>
      <c r="H725" s="302">
        <f t="shared" si="269"/>
        <v>2.2051131985777683</v>
      </c>
      <c r="I725" s="303"/>
      <c r="J725" s="302">
        <v>1.3691561941851478</v>
      </c>
      <c r="K725" s="302">
        <v>0.77596873048071036</v>
      </c>
      <c r="L725" s="302">
        <f t="shared" si="270"/>
        <v>2.1451249246658581</v>
      </c>
      <c r="M725" s="236"/>
      <c r="N725" s="236"/>
    </row>
    <row r="726" spans="1:14" x14ac:dyDescent="0.2">
      <c r="A726" s="237" t="str">
        <f>name!E$7</f>
        <v>Administrative and secretarial occupations</v>
      </c>
      <c r="B726" s="302">
        <v>0.7398426768606432</v>
      </c>
      <c r="C726" s="302">
        <v>8.7513220628534352E-2</v>
      </c>
      <c r="D726" s="302">
        <f t="shared" si="268"/>
        <v>0.82735589748917759</v>
      </c>
      <c r="E726" s="303"/>
      <c r="F726" s="302">
        <v>0.85044703361118335</v>
      </c>
      <c r="G726" s="302">
        <v>0.11387407246667831</v>
      </c>
      <c r="H726" s="302">
        <f t="shared" si="269"/>
        <v>0.9643211060778617</v>
      </c>
      <c r="I726" s="303"/>
      <c r="J726" s="302">
        <v>0.53607512555709336</v>
      </c>
      <c r="K726" s="302">
        <v>8.9167762876241424E-2</v>
      </c>
      <c r="L726" s="302">
        <f t="shared" si="270"/>
        <v>0.62524288843333475</v>
      </c>
      <c r="M726" s="236"/>
      <c r="N726" s="236"/>
    </row>
    <row r="727" spans="1:14" x14ac:dyDescent="0.2">
      <c r="A727" s="237" t="str">
        <f>name!E$8</f>
        <v>Skilled trades occupations</v>
      </c>
      <c r="B727" s="302">
        <v>0.11444717640583968</v>
      </c>
      <c r="C727" s="302">
        <v>0.36302759238714305</v>
      </c>
      <c r="D727" s="302">
        <f t="shared" si="268"/>
        <v>0.47747476879298273</v>
      </c>
      <c r="E727" s="303"/>
      <c r="F727" s="302">
        <v>0.13951040167651113</v>
      </c>
      <c r="G727" s="302">
        <v>0.31171365797931416</v>
      </c>
      <c r="H727" s="302">
        <f t="shared" si="269"/>
        <v>0.45122405965582529</v>
      </c>
      <c r="I727" s="303"/>
      <c r="J727" s="302">
        <v>0.13975236183062564</v>
      </c>
      <c r="K727" s="302">
        <v>0.25632432651940235</v>
      </c>
      <c r="L727" s="302">
        <f t="shared" si="270"/>
        <v>0.39607668835002796</v>
      </c>
      <c r="M727" s="236"/>
      <c r="N727" s="236"/>
    </row>
    <row r="728" spans="1:14" x14ac:dyDescent="0.2">
      <c r="A728" s="237" t="str">
        <f>name!E$9</f>
        <v>Caring, leisure and other service occupations</v>
      </c>
      <c r="B728" s="302">
        <v>0.51446583799077239</v>
      </c>
      <c r="C728" s="302">
        <v>0.18328379754544377</v>
      </c>
      <c r="D728" s="302">
        <f t="shared" si="268"/>
        <v>0.69774963553621616</v>
      </c>
      <c r="E728" s="303"/>
      <c r="F728" s="302">
        <v>0.5644322880244893</v>
      </c>
      <c r="G728" s="302">
        <v>0.20078950677444354</v>
      </c>
      <c r="H728" s="302">
        <f t="shared" si="269"/>
        <v>0.76522179479893282</v>
      </c>
      <c r="I728" s="303"/>
      <c r="J728" s="302">
        <v>0.52595676839437044</v>
      </c>
      <c r="K728" s="302">
        <v>0.19393455717913366</v>
      </c>
      <c r="L728" s="302">
        <f t="shared" si="270"/>
        <v>0.7198913255735041</v>
      </c>
      <c r="M728" s="236"/>
      <c r="N728" s="236"/>
    </row>
    <row r="729" spans="1:14" x14ac:dyDescent="0.2">
      <c r="A729" s="237" t="str">
        <f>name!E$10</f>
        <v>Sales and customer service occupations</v>
      </c>
      <c r="B729" s="302">
        <v>0.22315262176051534</v>
      </c>
      <c r="C729" s="302">
        <v>0.15382966038218224</v>
      </c>
      <c r="D729" s="302">
        <f t="shared" si="268"/>
        <v>0.37698228214269758</v>
      </c>
      <c r="E729" s="303"/>
      <c r="F729" s="302">
        <v>0.26448983500694012</v>
      </c>
      <c r="G729" s="302">
        <v>0.15890838443934163</v>
      </c>
      <c r="H729" s="302">
        <f t="shared" si="269"/>
        <v>0.42339821944628175</v>
      </c>
      <c r="I729" s="303"/>
      <c r="J729" s="302">
        <v>0.22953669115519454</v>
      </c>
      <c r="K729" s="302">
        <v>0.16834814588344191</v>
      </c>
      <c r="L729" s="302">
        <f t="shared" si="270"/>
        <v>0.39788483703863642</v>
      </c>
      <c r="M729" s="236"/>
      <c r="N729" s="236"/>
    </row>
    <row r="730" spans="1:14" x14ac:dyDescent="0.2">
      <c r="A730" s="237" t="str">
        <f>name!E$11</f>
        <v>Process, plant and machine operatives</v>
      </c>
      <c r="B730" s="302">
        <v>3.746537040407158E-2</v>
      </c>
      <c r="C730" s="302">
        <v>9.9666377374482973E-2</v>
      </c>
      <c r="D730" s="302">
        <f t="shared" si="268"/>
        <v>0.13713174777855455</v>
      </c>
      <c r="E730" s="303"/>
      <c r="F730" s="302">
        <v>3.6252500397142381E-2</v>
      </c>
      <c r="G730" s="302">
        <v>0.12228807609596745</v>
      </c>
      <c r="H730" s="302">
        <f t="shared" si="269"/>
        <v>0.15854057649310982</v>
      </c>
      <c r="I730" s="303"/>
      <c r="J730" s="302">
        <v>3.3591843192032796E-2</v>
      </c>
      <c r="K730" s="302">
        <v>0.13578112271833734</v>
      </c>
      <c r="L730" s="302">
        <f t="shared" si="270"/>
        <v>0.16937296591037013</v>
      </c>
      <c r="M730" s="236"/>
      <c r="N730" s="236"/>
    </row>
    <row r="731" spans="1:14" x14ac:dyDescent="0.2">
      <c r="A731" s="237" t="str">
        <f>name!E$12</f>
        <v>Elementary occupations</v>
      </c>
      <c r="B731" s="302">
        <v>0.55778520671313081</v>
      </c>
      <c r="C731" s="302">
        <v>0.74448638391101241</v>
      </c>
      <c r="D731" s="302">
        <f t="shared" si="268"/>
        <v>1.3022715906241431</v>
      </c>
      <c r="E731" s="303"/>
      <c r="F731" s="302">
        <v>0.49885714538928788</v>
      </c>
      <c r="G731" s="302">
        <v>0.78998624149495245</v>
      </c>
      <c r="H731" s="302">
        <f t="shared" si="269"/>
        <v>1.2888433868842404</v>
      </c>
      <c r="I731" s="303"/>
      <c r="J731" s="302">
        <v>0.40448570573957654</v>
      </c>
      <c r="K731" s="302">
        <v>0.76357632042023205</v>
      </c>
      <c r="L731" s="302">
        <f t="shared" si="270"/>
        <v>1.1680620261598085</v>
      </c>
      <c r="M731" s="236"/>
      <c r="N731" s="236"/>
    </row>
    <row r="732" spans="1:14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2">
      <c r="A733" s="244" t="s">
        <v>32</v>
      </c>
      <c r="B733" s="311">
        <f>SUM(B723:B731)</f>
        <v>4.1610000000214873</v>
      </c>
      <c r="C733" s="311">
        <f t="shared" ref="C733:D733" si="271">SUM(C723:C731)</f>
        <v>3.3370000000441009</v>
      </c>
      <c r="D733" s="311">
        <f t="shared" si="271"/>
        <v>7.4980000000655895</v>
      </c>
      <c r="E733" s="311"/>
      <c r="F733" s="311">
        <f t="shared" ref="F733:H733" si="272">SUM(F723:F731)</f>
        <v>5.267999999950014</v>
      </c>
      <c r="G733" s="311">
        <f t="shared" si="272"/>
        <v>3.4240000000233546</v>
      </c>
      <c r="H733" s="311">
        <f t="shared" si="272"/>
        <v>8.6919999999733673</v>
      </c>
      <c r="I733" s="311"/>
      <c r="J733" s="311">
        <f t="shared" ref="J733:L733" si="273">SUM(J723:J731)</f>
        <v>4.9800000000282649</v>
      </c>
      <c r="K733" s="311">
        <f t="shared" si="273"/>
        <v>3.2870000000495669</v>
      </c>
      <c r="L733" s="311">
        <f t="shared" si="273"/>
        <v>8.2670000000778305</v>
      </c>
      <c r="M733" s="236"/>
      <c r="N733" s="236"/>
    </row>
    <row r="734" spans="1:14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2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2">
      <c r="A737" s="241" t="str">
        <f>name!A46</f>
        <v>Broadcasting</v>
      </c>
      <c r="B737" s="372">
        <f>B$6</f>
        <v>2015</v>
      </c>
      <c r="C737" s="372"/>
      <c r="D737" s="372"/>
      <c r="E737" s="253"/>
      <c r="F737" s="372">
        <f>F720</f>
        <v>2020</v>
      </c>
      <c r="G737" s="372"/>
      <c r="H737" s="372"/>
      <c r="I737" s="253"/>
      <c r="J737" s="372">
        <f>J720</f>
        <v>2035</v>
      </c>
      <c r="K737" s="372"/>
      <c r="L737" s="372"/>
      <c r="M737" s="236"/>
      <c r="N737" s="236"/>
    </row>
    <row r="738" spans="1:14" x14ac:dyDescent="0.2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2">
      <c r="A740" s="237" t="str">
        <f>name!E$4</f>
        <v>Managers, directors and senior officials</v>
      </c>
      <c r="B740" s="302">
        <v>3.6591645896518889E-3</v>
      </c>
      <c r="C740" s="302">
        <v>3.5386720459215829E-2</v>
      </c>
      <c r="D740" s="302">
        <f>SUM(B740:C740)</f>
        <v>3.9045885048867718E-2</v>
      </c>
      <c r="E740" s="303"/>
      <c r="F740" s="302">
        <v>3.2440931951558422E-2</v>
      </c>
      <c r="G740" s="302">
        <v>0.17391013137387371</v>
      </c>
      <c r="H740" s="302">
        <f>SUM(F740:G740)</f>
        <v>0.20635106332543213</v>
      </c>
      <c r="I740" s="303"/>
      <c r="J740" s="302">
        <v>3.1123860054572634E-2</v>
      </c>
      <c r="K740" s="302">
        <v>0.17380435628655283</v>
      </c>
      <c r="L740" s="302">
        <f>SUM(J740:K740)</f>
        <v>0.20492821634112546</v>
      </c>
      <c r="M740" s="236"/>
      <c r="N740" s="236"/>
    </row>
    <row r="741" spans="1:14" x14ac:dyDescent="0.2">
      <c r="A741" s="237" t="str">
        <f>name!E$5</f>
        <v>Professional occupations</v>
      </c>
      <c r="B741" s="302">
        <v>7.4341874854316732E-3</v>
      </c>
      <c r="C741" s="302">
        <v>6.7013524907512084E-2</v>
      </c>
      <c r="D741" s="302">
        <f t="shared" ref="D741:D748" si="274">SUM(B741:C741)</f>
        <v>7.444771239294376E-2</v>
      </c>
      <c r="E741" s="303"/>
      <c r="F741" s="302">
        <v>5.8438034614910504E-2</v>
      </c>
      <c r="G741" s="302">
        <v>0.35055371401137919</v>
      </c>
      <c r="H741" s="302">
        <f t="shared" ref="H741:H748" si="275">SUM(F741:G741)</f>
        <v>0.40899174862628968</v>
      </c>
      <c r="I741" s="303"/>
      <c r="J741" s="302">
        <v>4.7513262087354076E-2</v>
      </c>
      <c r="K741" s="302">
        <v>0.37303500737633077</v>
      </c>
      <c r="L741" s="302">
        <f t="shared" ref="L741:L748" si="276">SUM(J741:K741)</f>
        <v>0.42054826946368484</v>
      </c>
      <c r="M741" s="236"/>
      <c r="N741" s="236"/>
    </row>
    <row r="742" spans="1:14" x14ac:dyDescent="0.2">
      <c r="A742" s="237" t="str">
        <f>name!E$6</f>
        <v>Associate professional occupations</v>
      </c>
      <c r="B742" s="302">
        <v>2.2719686380404117E-2</v>
      </c>
      <c r="C742" s="302">
        <v>8.6556076836373383E-2</v>
      </c>
      <c r="D742" s="302">
        <f t="shared" si="274"/>
        <v>0.1092757632167775</v>
      </c>
      <c r="E742" s="303"/>
      <c r="F742" s="302">
        <v>0.18139570320603776</v>
      </c>
      <c r="G742" s="302">
        <v>0.31310872011159291</v>
      </c>
      <c r="H742" s="302">
        <f t="shared" si="275"/>
        <v>0.49450442331763067</v>
      </c>
      <c r="I742" s="303"/>
      <c r="J742" s="302">
        <v>0.16114613484022111</v>
      </c>
      <c r="K742" s="302">
        <v>0.28308187120863071</v>
      </c>
      <c r="L742" s="302">
        <f t="shared" si="276"/>
        <v>0.44422800604885182</v>
      </c>
      <c r="M742" s="236"/>
      <c r="N742" s="236"/>
    </row>
    <row r="743" spans="1:14" x14ac:dyDescent="0.2">
      <c r="A743" s="237" t="str">
        <f>name!E$7</f>
        <v>Administrative and secretarial occupations</v>
      </c>
      <c r="B743" s="302">
        <v>3.9800666759932457E-3</v>
      </c>
      <c r="C743" s="302">
        <v>1.3473074540344554E-2</v>
      </c>
      <c r="D743" s="302">
        <f t="shared" si="274"/>
        <v>1.74531412163378E-2</v>
      </c>
      <c r="E743" s="303"/>
      <c r="F743" s="302">
        <v>2.0703292843095699E-2</v>
      </c>
      <c r="G743" s="302">
        <v>6.586914206149791E-2</v>
      </c>
      <c r="H743" s="302">
        <f t="shared" si="275"/>
        <v>8.6572434904593612E-2</v>
      </c>
      <c r="I743" s="303"/>
      <c r="J743" s="302">
        <v>1.4833164779770432E-2</v>
      </c>
      <c r="K743" s="302">
        <v>5.1270436679018615E-2</v>
      </c>
      <c r="L743" s="302">
        <f t="shared" si="276"/>
        <v>6.6103601458789046E-2</v>
      </c>
      <c r="M743" s="236"/>
      <c r="N743" s="236"/>
    </row>
    <row r="744" spans="1:14" x14ac:dyDescent="0.2">
      <c r="A744" s="237" t="str">
        <f>name!E$8</f>
        <v>Skilled trades occupations</v>
      </c>
      <c r="B744" s="302">
        <v>2.8240642708839171E-3</v>
      </c>
      <c r="C744" s="302">
        <v>4.1710858480391126E-2</v>
      </c>
      <c r="D744" s="302">
        <f t="shared" si="274"/>
        <v>4.4534922751275047E-2</v>
      </c>
      <c r="E744" s="303"/>
      <c r="F744" s="302">
        <v>2.4499894657212834E-2</v>
      </c>
      <c r="G744" s="302">
        <v>0.14961336195658859</v>
      </c>
      <c r="H744" s="302">
        <f t="shared" si="275"/>
        <v>0.17411325661380142</v>
      </c>
      <c r="I744" s="303"/>
      <c r="J744" s="302">
        <v>2.2768993474922127E-2</v>
      </c>
      <c r="K744" s="302">
        <v>0.11845723013321077</v>
      </c>
      <c r="L744" s="302">
        <f t="shared" si="276"/>
        <v>0.14122622360813289</v>
      </c>
      <c r="M744" s="236"/>
      <c r="N744" s="236"/>
    </row>
    <row r="745" spans="1:14" x14ac:dyDescent="0.2">
      <c r="A745" s="237" t="str">
        <f>name!E$9</f>
        <v>Caring, leisure and other service occupations</v>
      </c>
      <c r="B745" s="302">
        <v>2.8016663990888743E-3</v>
      </c>
      <c r="C745" s="302">
        <v>1.5912418984071929E-2</v>
      </c>
      <c r="D745" s="302">
        <f t="shared" si="274"/>
        <v>1.8714085383160804E-2</v>
      </c>
      <c r="E745" s="303"/>
      <c r="F745" s="302">
        <v>1.6180656686414101E-2</v>
      </c>
      <c r="G745" s="302">
        <v>7.0495495206435166E-2</v>
      </c>
      <c r="H745" s="302">
        <f t="shared" si="275"/>
        <v>8.6676151892849274E-2</v>
      </c>
      <c r="I745" s="303"/>
      <c r="J745" s="302">
        <v>1.4549169278041309E-2</v>
      </c>
      <c r="K745" s="302">
        <v>7.3803961048346106E-2</v>
      </c>
      <c r="L745" s="302">
        <f t="shared" si="276"/>
        <v>8.8353130326387419E-2</v>
      </c>
      <c r="M745" s="236"/>
      <c r="N745" s="236"/>
    </row>
    <row r="746" spans="1:14" x14ac:dyDescent="0.2">
      <c r="A746" s="237" t="str">
        <f>name!E$10</f>
        <v>Sales and customer service occupations</v>
      </c>
      <c r="B746" s="302">
        <v>1.9319101761090898E-3</v>
      </c>
      <c r="C746" s="302">
        <v>1.6010536907420075E-2</v>
      </c>
      <c r="D746" s="302">
        <f t="shared" si="274"/>
        <v>1.7942447083529166E-2</v>
      </c>
      <c r="E746" s="303"/>
      <c r="F746" s="302">
        <v>1.001670934394226E-2</v>
      </c>
      <c r="G746" s="302">
        <v>6.9936184245740496E-2</v>
      </c>
      <c r="H746" s="302">
        <f t="shared" si="275"/>
        <v>7.9952893589682758E-2</v>
      </c>
      <c r="I746" s="303"/>
      <c r="J746" s="302">
        <v>9.1640120473924242E-3</v>
      </c>
      <c r="K746" s="302">
        <v>7.8940015185269385E-2</v>
      </c>
      <c r="L746" s="302">
        <f t="shared" si="276"/>
        <v>8.8104027232661808E-2</v>
      </c>
      <c r="M746" s="236"/>
      <c r="N746" s="236"/>
    </row>
    <row r="747" spans="1:14" x14ac:dyDescent="0.2">
      <c r="A747" s="237" t="str">
        <f>name!E$11</f>
        <v>Process, plant and machine operatives</v>
      </c>
      <c r="B747" s="302">
        <v>1.7775352349082838E-4</v>
      </c>
      <c r="C747" s="302">
        <v>4.1715455905457473E-3</v>
      </c>
      <c r="D747" s="302">
        <f t="shared" si="274"/>
        <v>4.3492991140365754E-3</v>
      </c>
      <c r="E747" s="303"/>
      <c r="F747" s="302">
        <v>1.2571623441454377E-3</v>
      </c>
      <c r="G747" s="302">
        <v>1.6163155475461977E-2</v>
      </c>
      <c r="H747" s="302">
        <f t="shared" si="275"/>
        <v>1.7420317819607414E-2</v>
      </c>
      <c r="I747" s="303"/>
      <c r="J747" s="302">
        <v>1.3009376557293899E-3</v>
      </c>
      <c r="K747" s="302">
        <v>1.473907537294674E-2</v>
      </c>
      <c r="L747" s="302">
        <f t="shared" si="276"/>
        <v>1.604001302867613E-2</v>
      </c>
      <c r="M747" s="236"/>
      <c r="N747" s="236"/>
    </row>
    <row r="748" spans="1:14" x14ac:dyDescent="0.2">
      <c r="A748" s="237" t="str">
        <f>name!E$12</f>
        <v>Elementary occupations</v>
      </c>
      <c r="B748" s="302">
        <v>2.4715005001268611E-3</v>
      </c>
      <c r="C748" s="302">
        <v>1.9765243295830379E-2</v>
      </c>
      <c r="D748" s="302">
        <f t="shared" si="274"/>
        <v>2.2236743795957241E-2</v>
      </c>
      <c r="E748" s="303"/>
      <c r="F748" s="302">
        <v>1.0067614341319213E-2</v>
      </c>
      <c r="G748" s="302">
        <v>7.2350095551954749E-2</v>
      </c>
      <c r="H748" s="302">
        <f t="shared" si="275"/>
        <v>8.241770989327396E-2</v>
      </c>
      <c r="I748" s="303"/>
      <c r="J748" s="302">
        <v>6.6004657868743216E-3</v>
      </c>
      <c r="K748" s="302">
        <v>5.5868046707389277E-2</v>
      </c>
      <c r="L748" s="302">
        <f t="shared" si="276"/>
        <v>6.2468512494263599E-2</v>
      </c>
      <c r="M748" s="236"/>
      <c r="N748" s="236"/>
    </row>
    <row r="749" spans="1:14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2">
      <c r="A750" s="244" t="s">
        <v>32</v>
      </c>
      <c r="B750" s="311">
        <f>SUM(B740:B748)</f>
        <v>4.8000000001180494E-2</v>
      </c>
      <c r="C750" s="311">
        <f t="shared" ref="C750:D750" si="277">SUM(C740:C748)</f>
        <v>0.30000000000170507</v>
      </c>
      <c r="D750" s="311">
        <f t="shared" si="277"/>
        <v>0.34800000000288561</v>
      </c>
      <c r="E750" s="311"/>
      <c r="F750" s="311">
        <f t="shared" ref="F750:H750" si="278">SUM(F740:F748)</f>
        <v>0.35499999998863618</v>
      </c>
      <c r="G750" s="311">
        <f t="shared" si="278"/>
        <v>1.2819999999945244</v>
      </c>
      <c r="H750" s="311">
        <f t="shared" si="278"/>
        <v>1.636999999983161</v>
      </c>
      <c r="I750" s="311"/>
      <c r="J750" s="311">
        <f t="shared" ref="J750:L750" si="279">SUM(J740:J748)</f>
        <v>0.30900000000487782</v>
      </c>
      <c r="K750" s="311">
        <f t="shared" si="279"/>
        <v>1.2229999999976953</v>
      </c>
      <c r="L750" s="311">
        <f t="shared" si="279"/>
        <v>1.5320000000025731</v>
      </c>
      <c r="M750" s="236"/>
      <c r="N750" s="236"/>
    </row>
    <row r="751" spans="1:14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2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2">
      <c r="A754" s="241" t="str">
        <f>name!A47</f>
        <v>Telecommunications</v>
      </c>
      <c r="B754" s="372">
        <f>B$6</f>
        <v>2015</v>
      </c>
      <c r="C754" s="372"/>
      <c r="D754" s="372"/>
      <c r="E754" s="253"/>
      <c r="F754" s="372">
        <f>F737</f>
        <v>2020</v>
      </c>
      <c r="G754" s="372"/>
      <c r="H754" s="372"/>
      <c r="I754" s="253"/>
      <c r="J754" s="372">
        <f>J737</f>
        <v>2035</v>
      </c>
      <c r="K754" s="372"/>
      <c r="L754" s="372"/>
      <c r="M754" s="236"/>
      <c r="N754" s="236"/>
    </row>
    <row r="755" spans="1:14" x14ac:dyDescent="0.2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2">
      <c r="A757" s="237" t="str">
        <f>name!E$4</f>
        <v>Managers, directors and senior officials</v>
      </c>
      <c r="B757" s="302">
        <v>0.56696956310191093</v>
      </c>
      <c r="C757" s="302">
        <v>2.5391642519223931</v>
      </c>
      <c r="D757" s="302">
        <f>SUM(B757:C757)</f>
        <v>3.1061338150243039</v>
      </c>
      <c r="E757" s="303"/>
      <c r="F757" s="302">
        <v>0.4289233106698746</v>
      </c>
      <c r="G757" s="302">
        <v>1.9071501758938934</v>
      </c>
      <c r="H757" s="302">
        <f>SUM(F757:G757)</f>
        <v>2.3360734865637678</v>
      </c>
      <c r="I757" s="303"/>
      <c r="J757" s="302">
        <v>0.52469099056761292</v>
      </c>
      <c r="K757" s="302">
        <v>1.9773911139734366</v>
      </c>
      <c r="L757" s="302">
        <f>SUM(J757:K757)</f>
        <v>2.5020821045410493</v>
      </c>
      <c r="M757" s="236"/>
      <c r="N757" s="236"/>
    </row>
    <row r="758" spans="1:14" x14ac:dyDescent="0.2">
      <c r="A758" s="237" t="str">
        <f>name!E$5</f>
        <v>Professional occupations</v>
      </c>
      <c r="B758" s="302">
        <v>0.47256921613889274</v>
      </c>
      <c r="C758" s="302">
        <v>5.9092178931771784</v>
      </c>
      <c r="D758" s="302">
        <f t="shared" ref="D758:D765" si="280">SUM(B758:C758)</f>
        <v>6.381787109316071</v>
      </c>
      <c r="E758" s="303"/>
      <c r="F758" s="302">
        <v>0.42573128374614155</v>
      </c>
      <c r="G758" s="302">
        <v>4.5921116450068036</v>
      </c>
      <c r="H758" s="302">
        <f t="shared" ref="H758:H765" si="281">SUM(F758:G758)</f>
        <v>5.0178429287529447</v>
      </c>
      <c r="I758" s="303"/>
      <c r="J758" s="302">
        <v>0.54979268509888446</v>
      </c>
      <c r="K758" s="302">
        <v>5.458246293651249</v>
      </c>
      <c r="L758" s="302">
        <f t="shared" ref="L758:L765" si="282">SUM(J758:K758)</f>
        <v>6.0080389787501334</v>
      </c>
      <c r="M758" s="236"/>
      <c r="N758" s="236"/>
    </row>
    <row r="759" spans="1:14" x14ac:dyDescent="0.2">
      <c r="A759" s="237" t="str">
        <f>name!E$6</f>
        <v>Associate professional occupations</v>
      </c>
      <c r="B759" s="302">
        <v>0.55645052946755313</v>
      </c>
      <c r="C759" s="302">
        <v>2.0630763243892565</v>
      </c>
      <c r="D759" s="302">
        <f t="shared" si="280"/>
        <v>2.6195268538568097</v>
      </c>
      <c r="E759" s="303"/>
      <c r="F759" s="302">
        <v>0.42125175496717759</v>
      </c>
      <c r="G759" s="302">
        <v>1.5963485795742978</v>
      </c>
      <c r="H759" s="302">
        <f t="shared" si="281"/>
        <v>2.0176003345414752</v>
      </c>
      <c r="I759" s="303"/>
      <c r="J759" s="302">
        <v>0.47002905171579168</v>
      </c>
      <c r="K759" s="302">
        <v>1.6475398324728812</v>
      </c>
      <c r="L759" s="302">
        <f t="shared" si="282"/>
        <v>2.1175688841886728</v>
      </c>
      <c r="M759" s="236"/>
      <c r="N759" s="236"/>
    </row>
    <row r="760" spans="1:14" x14ac:dyDescent="0.2">
      <c r="A760" s="237" t="str">
        <f>name!E$7</f>
        <v>Administrative and secretarial occupations</v>
      </c>
      <c r="B760" s="302">
        <v>0.62379357270415159</v>
      </c>
      <c r="C760" s="302">
        <v>0.53885654390925852</v>
      </c>
      <c r="D760" s="302">
        <f t="shared" si="280"/>
        <v>1.1626501166134102</v>
      </c>
      <c r="E760" s="303"/>
      <c r="F760" s="302">
        <v>0.31363570352904541</v>
      </c>
      <c r="G760" s="302">
        <v>0.43085454907580917</v>
      </c>
      <c r="H760" s="302">
        <f t="shared" si="281"/>
        <v>0.74449025260485457</v>
      </c>
      <c r="I760" s="303"/>
      <c r="J760" s="302">
        <v>0.26638456737115168</v>
      </c>
      <c r="K760" s="302">
        <v>0.47389316479237897</v>
      </c>
      <c r="L760" s="302">
        <f t="shared" si="282"/>
        <v>0.74027773216353066</v>
      </c>
      <c r="M760" s="236"/>
      <c r="N760" s="236"/>
    </row>
    <row r="761" spans="1:14" x14ac:dyDescent="0.2">
      <c r="A761" s="237" t="str">
        <f>name!E$8</f>
        <v>Skilled trades occupations</v>
      </c>
      <c r="B761" s="302">
        <v>8.0059369038446682E-2</v>
      </c>
      <c r="C761" s="302">
        <v>2.5424521039834089</v>
      </c>
      <c r="D761" s="302">
        <f t="shared" si="280"/>
        <v>2.6225114730218557</v>
      </c>
      <c r="E761" s="303"/>
      <c r="F761" s="302">
        <v>6.3260041219885987E-2</v>
      </c>
      <c r="G761" s="302">
        <v>1.3873357930217403</v>
      </c>
      <c r="H761" s="302">
        <f t="shared" si="281"/>
        <v>1.4505958342416263</v>
      </c>
      <c r="I761" s="303"/>
      <c r="J761" s="302">
        <v>0.11671833490608603</v>
      </c>
      <c r="K761" s="302">
        <v>1.0297289097184616</v>
      </c>
      <c r="L761" s="302">
        <f t="shared" si="282"/>
        <v>1.1464472446245477</v>
      </c>
      <c r="M761" s="236"/>
      <c r="N761" s="236"/>
    </row>
    <row r="762" spans="1:14" x14ac:dyDescent="0.2">
      <c r="A762" s="237" t="str">
        <f>name!E$9</f>
        <v>Caring, leisure and other service occupations</v>
      </c>
      <c r="B762" s="302">
        <v>9.1409935786871344E-2</v>
      </c>
      <c r="C762" s="302">
        <v>0.37163495420400505</v>
      </c>
      <c r="D762" s="302">
        <f t="shared" si="280"/>
        <v>0.4630448899908764</v>
      </c>
      <c r="E762" s="303"/>
      <c r="F762" s="302">
        <v>2.8804360155048472E-2</v>
      </c>
      <c r="G762" s="302">
        <v>0.26577887812793044</v>
      </c>
      <c r="H762" s="302">
        <f t="shared" si="281"/>
        <v>0.29458323828297889</v>
      </c>
      <c r="I762" s="303"/>
      <c r="J762" s="302">
        <v>4.4613479608412353E-2</v>
      </c>
      <c r="K762" s="302">
        <v>0.38971079548085447</v>
      </c>
      <c r="L762" s="302">
        <f t="shared" si="282"/>
        <v>0.4343242750892668</v>
      </c>
      <c r="M762" s="236"/>
      <c r="N762" s="236"/>
    </row>
    <row r="763" spans="1:14" x14ac:dyDescent="0.2">
      <c r="A763" s="237" t="str">
        <f>name!E$10</f>
        <v>Sales and customer service occupations</v>
      </c>
      <c r="B763" s="302">
        <v>0.83206867728421285</v>
      </c>
      <c r="C763" s="302">
        <v>1.0203091010869454</v>
      </c>
      <c r="D763" s="302">
        <f t="shared" si="280"/>
        <v>1.8523777783711584</v>
      </c>
      <c r="E763" s="303"/>
      <c r="F763" s="302">
        <v>0.45028635731119071</v>
      </c>
      <c r="G763" s="302">
        <v>0.7089298324045481</v>
      </c>
      <c r="H763" s="302">
        <f t="shared" si="281"/>
        <v>1.1592161897157389</v>
      </c>
      <c r="I763" s="303"/>
      <c r="J763" s="302">
        <v>0.49856352735687492</v>
      </c>
      <c r="K763" s="302">
        <v>1.0007492790988459</v>
      </c>
      <c r="L763" s="302">
        <f t="shared" si="282"/>
        <v>1.4993128064557208</v>
      </c>
      <c r="M763" s="236"/>
      <c r="N763" s="236"/>
    </row>
    <row r="764" spans="1:14" x14ac:dyDescent="0.2">
      <c r="A764" s="237" t="str">
        <f>name!E$11</f>
        <v>Process, plant and machine operatives</v>
      </c>
      <c r="B764" s="302">
        <v>3.7526805525553458E-2</v>
      </c>
      <c r="C764" s="302">
        <v>0.20498625100633786</v>
      </c>
      <c r="D764" s="302">
        <f t="shared" si="280"/>
        <v>0.24251305653189131</v>
      </c>
      <c r="E764" s="303"/>
      <c r="F764" s="302">
        <v>1.1349438418042097E-2</v>
      </c>
      <c r="G764" s="302">
        <v>9.7746135438164669E-2</v>
      </c>
      <c r="H764" s="302">
        <f t="shared" si="281"/>
        <v>0.10909557385620677</v>
      </c>
      <c r="I764" s="303"/>
      <c r="J764" s="302">
        <v>1.463179396229774E-2</v>
      </c>
      <c r="K764" s="302">
        <v>0.12730205347099066</v>
      </c>
      <c r="L764" s="302">
        <f t="shared" si="282"/>
        <v>0.14193384743328841</v>
      </c>
      <c r="M764" s="236"/>
      <c r="N764" s="236"/>
    </row>
    <row r="765" spans="1:14" x14ac:dyDescent="0.2">
      <c r="A765" s="237" t="str">
        <f>name!E$12</f>
        <v>Elementary occupations</v>
      </c>
      <c r="B765" s="302">
        <v>7.7152330962319784E-2</v>
      </c>
      <c r="C765" s="302">
        <v>0.30530257621148871</v>
      </c>
      <c r="D765" s="302">
        <f t="shared" si="280"/>
        <v>0.38245490717380848</v>
      </c>
      <c r="E765" s="303"/>
      <c r="F765" s="302">
        <v>1.4757749961702872E-2</v>
      </c>
      <c r="G765" s="302">
        <v>0.12074441125782022</v>
      </c>
      <c r="H765" s="302">
        <f t="shared" si="281"/>
        <v>0.1355021612195231</v>
      </c>
      <c r="I765" s="303"/>
      <c r="J765" s="302">
        <v>1.0575569411557774E-2</v>
      </c>
      <c r="K765" s="302">
        <v>0.12543855712489291</v>
      </c>
      <c r="L765" s="302">
        <f t="shared" si="282"/>
        <v>0.13601412653645067</v>
      </c>
      <c r="M765" s="236"/>
      <c r="N765" s="236"/>
    </row>
    <row r="766" spans="1:14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2">
      <c r="A767" s="244" t="s">
        <v>32</v>
      </c>
      <c r="B767" s="311">
        <f>SUM(B757:B765)</f>
        <v>3.3380000000099126</v>
      </c>
      <c r="C767" s="311">
        <f t="shared" ref="C767:D767" si="283">SUM(C757:C765)</f>
        <v>15.494999999890274</v>
      </c>
      <c r="D767" s="311">
        <f t="shared" si="283"/>
        <v>18.832999999900188</v>
      </c>
      <c r="E767" s="311"/>
      <c r="F767" s="311">
        <f t="shared" ref="F767:H767" si="284">SUM(F757:F765)</f>
        <v>2.1579999999781094</v>
      </c>
      <c r="G767" s="311">
        <f t="shared" si="284"/>
        <v>11.10699999980101</v>
      </c>
      <c r="H767" s="311">
        <f t="shared" si="284"/>
        <v>13.264999999779118</v>
      </c>
      <c r="I767" s="311"/>
      <c r="J767" s="311">
        <f t="shared" ref="J767:L767" si="285">SUM(J757:J765)</f>
        <v>2.4959999999986691</v>
      </c>
      <c r="K767" s="311">
        <f t="shared" si="285"/>
        <v>12.229999999783992</v>
      </c>
      <c r="L767" s="311">
        <f t="shared" si="285"/>
        <v>14.72599999978266</v>
      </c>
      <c r="M767" s="236"/>
      <c r="N767" s="236"/>
    </row>
    <row r="768" spans="1:14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2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2">
      <c r="A771" s="241" t="str">
        <f>name!A48</f>
        <v>Computing services</v>
      </c>
      <c r="B771" s="372">
        <f>B$6</f>
        <v>2015</v>
      </c>
      <c r="C771" s="372"/>
      <c r="D771" s="372"/>
      <c r="E771" s="253"/>
      <c r="F771" s="372">
        <f>F$6</f>
        <v>2020</v>
      </c>
      <c r="G771" s="372"/>
      <c r="H771" s="372"/>
      <c r="I771" s="253"/>
      <c r="J771" s="372">
        <f>J$6</f>
        <v>2035</v>
      </c>
      <c r="K771" s="372"/>
      <c r="L771" s="372"/>
      <c r="M771" s="236"/>
      <c r="N771" s="236"/>
    </row>
    <row r="772" spans="1:14" x14ac:dyDescent="0.2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2">
      <c r="A774" s="237" t="str">
        <f>name!E$4</f>
        <v>Managers, directors and senior officials</v>
      </c>
      <c r="B774" s="302">
        <v>1.4925883711878307</v>
      </c>
      <c r="C774" s="302">
        <v>5.4014227174612355</v>
      </c>
      <c r="D774" s="302">
        <f>SUM(B774:C774)</f>
        <v>6.8940110886490658</v>
      </c>
      <c r="E774" s="303"/>
      <c r="F774" s="302">
        <v>1.943867520157651</v>
      </c>
      <c r="G774" s="302">
        <v>5.8311328755431227</v>
      </c>
      <c r="H774" s="302">
        <f>SUM(F774:G774)</f>
        <v>7.7750003957007738</v>
      </c>
      <c r="I774" s="303"/>
      <c r="J774" s="302">
        <v>2.3242509503820012</v>
      </c>
      <c r="K774" s="302">
        <v>6.1403475888353878</v>
      </c>
      <c r="L774" s="302">
        <f>SUM(J774:K774)</f>
        <v>8.4645985392173895</v>
      </c>
      <c r="M774" s="236"/>
      <c r="N774" s="236"/>
    </row>
    <row r="775" spans="1:14" x14ac:dyDescent="0.2">
      <c r="A775" s="237" t="str">
        <f>name!E$5</f>
        <v>Professional occupations</v>
      </c>
      <c r="B775" s="302">
        <v>3.3033184413324115</v>
      </c>
      <c r="C775" s="302">
        <v>17.016333038862989</v>
      </c>
      <c r="D775" s="302">
        <f t="shared" ref="D775:D782" si="286">SUM(B775:C775)</f>
        <v>20.3196514801954</v>
      </c>
      <c r="E775" s="303"/>
      <c r="F775" s="302">
        <v>4.4520627701796327</v>
      </c>
      <c r="G775" s="302">
        <v>18.692429980316351</v>
      </c>
      <c r="H775" s="302">
        <f t="shared" ref="H775:H782" si="287">SUM(F775:G775)</f>
        <v>23.144492750495985</v>
      </c>
      <c r="I775" s="303"/>
      <c r="J775" s="302">
        <v>5.6462349985083984</v>
      </c>
      <c r="K775" s="302">
        <v>21.204400397422216</v>
      </c>
      <c r="L775" s="302">
        <f t="shared" ref="L775:L782" si="288">SUM(J775:K775)</f>
        <v>26.850635395930613</v>
      </c>
      <c r="M775" s="236"/>
      <c r="N775" s="236"/>
    </row>
    <row r="776" spans="1:14" x14ac:dyDescent="0.2">
      <c r="A776" s="237" t="str">
        <f>name!E$6</f>
        <v>Associate professional occupations</v>
      </c>
      <c r="B776" s="302">
        <v>2.366221658393858</v>
      </c>
      <c r="C776" s="302">
        <v>5.3223586845554607</v>
      </c>
      <c r="D776" s="302">
        <f t="shared" si="286"/>
        <v>7.6885803429493187</v>
      </c>
      <c r="E776" s="303"/>
      <c r="F776" s="302">
        <v>2.8251977326952629</v>
      </c>
      <c r="G776" s="302">
        <v>5.7630878412561435</v>
      </c>
      <c r="H776" s="302">
        <f t="shared" si="287"/>
        <v>8.5882855739514063</v>
      </c>
      <c r="I776" s="303"/>
      <c r="J776" s="302">
        <v>3.1455595942832013</v>
      </c>
      <c r="K776" s="302">
        <v>5.845829425986329</v>
      </c>
      <c r="L776" s="302">
        <f t="shared" si="288"/>
        <v>8.9913890202695299</v>
      </c>
      <c r="M776" s="236"/>
      <c r="N776" s="236"/>
    </row>
    <row r="777" spans="1:14" x14ac:dyDescent="0.2">
      <c r="A777" s="237" t="str">
        <f>name!E$7</f>
        <v>Administrative and secretarial occupations</v>
      </c>
      <c r="B777" s="302">
        <v>1.9842303838251778</v>
      </c>
      <c r="C777" s="302">
        <v>0.72920703398840325</v>
      </c>
      <c r="D777" s="302">
        <f t="shared" si="286"/>
        <v>2.7134374178135809</v>
      </c>
      <c r="E777" s="303"/>
      <c r="F777" s="302">
        <v>1.8609741687907735</v>
      </c>
      <c r="G777" s="302">
        <v>0.85109035621702445</v>
      </c>
      <c r="H777" s="302">
        <f t="shared" si="287"/>
        <v>2.7120645250077979</v>
      </c>
      <c r="I777" s="303"/>
      <c r="J777" s="302">
        <v>1.3985576311802381</v>
      </c>
      <c r="K777" s="302">
        <v>0.77152913679836566</v>
      </c>
      <c r="L777" s="302">
        <f t="shared" si="288"/>
        <v>2.1700867679786038</v>
      </c>
      <c r="M777" s="236"/>
      <c r="N777" s="236"/>
    </row>
    <row r="778" spans="1:14" x14ac:dyDescent="0.2">
      <c r="A778" s="237" t="str">
        <f>name!E$8</f>
        <v>Skilled trades occupations</v>
      </c>
      <c r="B778" s="302">
        <v>0.13509212124620573</v>
      </c>
      <c r="C778" s="302">
        <v>2.8672021366204752</v>
      </c>
      <c r="D778" s="302">
        <f t="shared" si="286"/>
        <v>3.0022942578666809</v>
      </c>
      <c r="E778" s="303"/>
      <c r="F778" s="302">
        <v>0.16715553393928154</v>
      </c>
      <c r="G778" s="302">
        <v>2.0132750087342655</v>
      </c>
      <c r="H778" s="302">
        <f t="shared" si="287"/>
        <v>2.1804305426735469</v>
      </c>
      <c r="I778" s="303"/>
      <c r="J778" s="302">
        <v>0.27870960094607528</v>
      </c>
      <c r="K778" s="302">
        <v>2.1313736504302105</v>
      </c>
      <c r="L778" s="302">
        <f t="shared" si="288"/>
        <v>2.4100832513762858</v>
      </c>
      <c r="M778" s="236"/>
      <c r="N778" s="236"/>
    </row>
    <row r="779" spans="1:14" x14ac:dyDescent="0.2">
      <c r="A779" s="237" t="str">
        <f>name!E$9</f>
        <v>Caring, leisure and other service occupations</v>
      </c>
      <c r="B779" s="302">
        <v>0.52214727684967877</v>
      </c>
      <c r="C779" s="302">
        <v>0.61573356460756878</v>
      </c>
      <c r="D779" s="302">
        <f t="shared" si="286"/>
        <v>1.1378808414572474</v>
      </c>
      <c r="E779" s="303"/>
      <c r="F779" s="302">
        <v>0.54535181285417478</v>
      </c>
      <c r="G779" s="302">
        <v>0.65550619376062824</v>
      </c>
      <c r="H779" s="302">
        <f t="shared" si="287"/>
        <v>1.2008580066148031</v>
      </c>
      <c r="I779" s="303"/>
      <c r="J779" s="302">
        <v>0.68707882416020927</v>
      </c>
      <c r="K779" s="302">
        <v>1.0533567324772113</v>
      </c>
      <c r="L779" s="302">
        <f t="shared" si="288"/>
        <v>1.7404355566374206</v>
      </c>
      <c r="M779" s="236"/>
      <c r="N779" s="236"/>
    </row>
    <row r="780" spans="1:14" x14ac:dyDescent="0.2">
      <c r="A780" s="237" t="str">
        <f>name!E$10</f>
        <v>Sales and customer service occupations</v>
      </c>
      <c r="B780" s="302">
        <v>0.53251366058545002</v>
      </c>
      <c r="C780" s="302">
        <v>0.35052712371704076</v>
      </c>
      <c r="D780" s="302">
        <f t="shared" si="286"/>
        <v>0.88304078430249078</v>
      </c>
      <c r="E780" s="303"/>
      <c r="F780" s="302">
        <v>0.50964379564784457</v>
      </c>
      <c r="G780" s="302">
        <v>0.41912721043311307</v>
      </c>
      <c r="H780" s="302">
        <f t="shared" si="287"/>
        <v>0.92877100608095764</v>
      </c>
      <c r="I780" s="303"/>
      <c r="J780" s="302">
        <v>0.60038354713800068</v>
      </c>
      <c r="K780" s="302">
        <v>0.63214310560626463</v>
      </c>
      <c r="L780" s="302">
        <f t="shared" si="288"/>
        <v>1.2325266527442653</v>
      </c>
      <c r="M780" s="236"/>
      <c r="N780" s="236"/>
    </row>
    <row r="781" spans="1:14" x14ac:dyDescent="0.2">
      <c r="A781" s="237" t="str">
        <f>name!E$11</f>
        <v>Process, plant and machine operatives</v>
      </c>
      <c r="B781" s="302">
        <v>0.11851178053509101</v>
      </c>
      <c r="C781" s="302">
        <v>0.50727824653005993</v>
      </c>
      <c r="D781" s="302">
        <f t="shared" si="286"/>
        <v>0.62579002706515097</v>
      </c>
      <c r="E781" s="303"/>
      <c r="F781" s="302">
        <v>0.10969669260608872</v>
      </c>
      <c r="G781" s="302">
        <v>0.52252226367078825</v>
      </c>
      <c r="H781" s="302">
        <f t="shared" si="287"/>
        <v>0.63221895627687696</v>
      </c>
      <c r="I781" s="303"/>
      <c r="J781" s="302">
        <v>0.17253056086895247</v>
      </c>
      <c r="K781" s="302">
        <v>0.6506704017710162</v>
      </c>
      <c r="L781" s="302">
        <f t="shared" si="288"/>
        <v>0.82320096263996867</v>
      </c>
      <c r="M781" s="236"/>
      <c r="N781" s="236"/>
    </row>
    <row r="782" spans="1:14" x14ac:dyDescent="0.2">
      <c r="A782" s="237" t="str">
        <f>name!E$12</f>
        <v>Elementary occupations</v>
      </c>
      <c r="B782" s="302">
        <v>0.2223763061022527</v>
      </c>
      <c r="C782" s="302">
        <v>0.30993745337614803</v>
      </c>
      <c r="D782" s="302">
        <f t="shared" si="286"/>
        <v>0.53231375947840076</v>
      </c>
      <c r="E782" s="303"/>
      <c r="F782" s="302">
        <v>0.16804997293728149</v>
      </c>
      <c r="G782" s="302">
        <v>0.24882826929505558</v>
      </c>
      <c r="H782" s="302">
        <f t="shared" si="287"/>
        <v>0.41687824223233705</v>
      </c>
      <c r="I782" s="303"/>
      <c r="J782" s="302">
        <v>0.22069429259294057</v>
      </c>
      <c r="K782" s="302">
        <v>0.20234955984912084</v>
      </c>
      <c r="L782" s="302">
        <f t="shared" si="288"/>
        <v>0.42304385244206144</v>
      </c>
      <c r="M782" s="236"/>
      <c r="N782" s="236"/>
    </row>
    <row r="783" spans="1:14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2">
      <c r="A784" s="244" t="s">
        <v>32</v>
      </c>
      <c r="B784" s="311">
        <f>SUM(B774:B782)</f>
        <v>10.677000000057957</v>
      </c>
      <c r="C784" s="311">
        <f t="shared" ref="C784:D784" si="289">SUM(C774:C782)</f>
        <v>33.11999999971939</v>
      </c>
      <c r="D784" s="311">
        <f t="shared" si="289"/>
        <v>43.796999999777327</v>
      </c>
      <c r="E784" s="311"/>
      <c r="F784" s="311">
        <f t="shared" ref="F784:H784" si="290">SUM(F774:F782)</f>
        <v>12.581999999807993</v>
      </c>
      <c r="G784" s="311">
        <f t="shared" si="290"/>
        <v>34.996999999226489</v>
      </c>
      <c r="H784" s="311">
        <f t="shared" si="290"/>
        <v>47.578999999034487</v>
      </c>
      <c r="I784" s="311"/>
      <c r="J784" s="311">
        <f t="shared" ref="J784:L784" si="291">SUM(J774:J782)</f>
        <v>14.474000000060018</v>
      </c>
      <c r="K784" s="311">
        <f t="shared" si="291"/>
        <v>38.631999999176124</v>
      </c>
      <c r="L784" s="311">
        <f t="shared" si="291"/>
        <v>53.105999999236133</v>
      </c>
      <c r="M784" s="236"/>
      <c r="N784" s="236"/>
    </row>
    <row r="785" spans="1:14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2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2">
      <c r="A788" s="241" t="str">
        <f>name!A49</f>
        <v>Information services</v>
      </c>
      <c r="B788" s="372">
        <f>B$6</f>
        <v>2015</v>
      </c>
      <c r="C788" s="372"/>
      <c r="D788" s="372"/>
      <c r="E788" s="253"/>
      <c r="F788" s="372">
        <f>F$6</f>
        <v>2020</v>
      </c>
      <c r="G788" s="372"/>
      <c r="H788" s="372"/>
      <c r="I788" s="253"/>
      <c r="J788" s="372">
        <f>J$6</f>
        <v>2035</v>
      </c>
      <c r="K788" s="372"/>
      <c r="L788" s="372"/>
      <c r="M788" s="236"/>
      <c r="N788" s="236"/>
    </row>
    <row r="789" spans="1:14" x14ac:dyDescent="0.2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2">
      <c r="A791" s="237" t="str">
        <f>name!E$4</f>
        <v>Managers, directors and senior officials</v>
      </c>
      <c r="B791" s="302">
        <v>0.74947034058075868</v>
      </c>
      <c r="C791" s="302">
        <v>0.84815224442069015</v>
      </c>
      <c r="D791" s="302">
        <f>SUM(B791:C791)</f>
        <v>1.5976225850014489</v>
      </c>
      <c r="E791" s="303"/>
      <c r="F791" s="302">
        <v>0.4086248474651859</v>
      </c>
      <c r="G791" s="302">
        <v>0.38906190452619283</v>
      </c>
      <c r="H791" s="302">
        <f>SUM(F791:G791)</f>
        <v>0.79768675199137873</v>
      </c>
      <c r="I791" s="303"/>
      <c r="J791" s="302">
        <v>0.51973658475948314</v>
      </c>
      <c r="K791" s="302">
        <v>0.43875309887529007</v>
      </c>
      <c r="L791" s="302">
        <f>SUM(J791:K791)</f>
        <v>0.95848968363477316</v>
      </c>
      <c r="M791" s="236"/>
      <c r="N791" s="236"/>
    </row>
    <row r="792" spans="1:14" x14ac:dyDescent="0.2">
      <c r="A792" s="237" t="str">
        <f>name!E$5</f>
        <v>Professional occupations</v>
      </c>
      <c r="B792" s="302">
        <v>1.4644490402744295</v>
      </c>
      <c r="C792" s="302">
        <v>2.1349184122191618</v>
      </c>
      <c r="D792" s="302">
        <f t="shared" ref="D792:D799" si="292">SUM(B792:C792)</f>
        <v>3.599367452493591</v>
      </c>
      <c r="E792" s="303"/>
      <c r="F792" s="302">
        <v>0.89647586274721147</v>
      </c>
      <c r="G792" s="302">
        <v>0.9985208516299412</v>
      </c>
      <c r="H792" s="302">
        <f t="shared" ref="H792:H799" si="293">SUM(F792:G792)</f>
        <v>1.8949967143771527</v>
      </c>
      <c r="I792" s="303"/>
      <c r="J792" s="302">
        <v>1.1991365742959621</v>
      </c>
      <c r="K792" s="302">
        <v>1.1560753074451535</v>
      </c>
      <c r="L792" s="302">
        <f t="shared" ref="L792:L799" si="294">SUM(J792:K792)</f>
        <v>2.3552118817411154</v>
      </c>
      <c r="M792" s="236"/>
      <c r="N792" s="236"/>
    </row>
    <row r="793" spans="1:14" x14ac:dyDescent="0.2">
      <c r="A793" s="237" t="str">
        <f>name!E$6</f>
        <v>Associate professional occupations</v>
      </c>
      <c r="B793" s="302">
        <v>1.1136409064591135</v>
      </c>
      <c r="C793" s="302">
        <v>0.96965239163489947</v>
      </c>
      <c r="D793" s="302">
        <f t="shared" si="292"/>
        <v>2.0832932980940129</v>
      </c>
      <c r="E793" s="303"/>
      <c r="F793" s="302">
        <v>0.59906165725965954</v>
      </c>
      <c r="G793" s="302">
        <v>0.43275083287583505</v>
      </c>
      <c r="H793" s="302">
        <f t="shared" si="293"/>
        <v>1.0318124901354946</v>
      </c>
      <c r="I793" s="303"/>
      <c r="J793" s="302">
        <v>0.67382303463392368</v>
      </c>
      <c r="K793" s="302">
        <v>0.45069845835679495</v>
      </c>
      <c r="L793" s="302">
        <f t="shared" si="294"/>
        <v>1.1245214929907186</v>
      </c>
      <c r="M793" s="236"/>
      <c r="N793" s="236"/>
    </row>
    <row r="794" spans="1:14" x14ac:dyDescent="0.2">
      <c r="A794" s="237" t="str">
        <f>name!E$7</f>
        <v>Administrative and secretarial occupations</v>
      </c>
      <c r="B794" s="302">
        <v>1.186245816925779</v>
      </c>
      <c r="C794" s="302">
        <v>0.1714772504035306</v>
      </c>
      <c r="D794" s="302">
        <f t="shared" si="292"/>
        <v>1.3577230673293097</v>
      </c>
      <c r="E794" s="303"/>
      <c r="F794" s="302">
        <v>0.50069273059334074</v>
      </c>
      <c r="G794" s="302">
        <v>9.7518721672962244E-2</v>
      </c>
      <c r="H794" s="302">
        <f t="shared" si="293"/>
        <v>0.59821145226630301</v>
      </c>
      <c r="I794" s="303"/>
      <c r="J794" s="302">
        <v>0.36408984551156337</v>
      </c>
      <c r="K794" s="302">
        <v>9.7341257815199922E-2</v>
      </c>
      <c r="L794" s="302">
        <f t="shared" si="294"/>
        <v>0.46143110332676329</v>
      </c>
      <c r="M794" s="236"/>
      <c r="N794" s="236"/>
    </row>
    <row r="795" spans="1:14" x14ac:dyDescent="0.2">
      <c r="A795" s="237" t="str">
        <f>name!E$8</f>
        <v>Skilled trades occupations</v>
      </c>
      <c r="B795" s="302">
        <v>7.6329375398020483E-2</v>
      </c>
      <c r="C795" s="302">
        <v>0.50801685427079202</v>
      </c>
      <c r="D795" s="302">
        <f t="shared" si="292"/>
        <v>0.58434622966881244</v>
      </c>
      <c r="E795" s="303"/>
      <c r="F795" s="302">
        <v>4.0870013403128236E-2</v>
      </c>
      <c r="G795" s="302">
        <v>0.14887243357949079</v>
      </c>
      <c r="H795" s="302">
        <f t="shared" si="293"/>
        <v>0.18974244698261902</v>
      </c>
      <c r="I795" s="303"/>
      <c r="J795" s="302">
        <v>6.4893515141728128E-2</v>
      </c>
      <c r="K795" s="302">
        <v>0.15264812930391111</v>
      </c>
      <c r="L795" s="302">
        <f t="shared" si="294"/>
        <v>0.21754164444563923</v>
      </c>
      <c r="M795" s="236"/>
      <c r="N795" s="236"/>
    </row>
    <row r="796" spans="1:14" x14ac:dyDescent="0.2">
      <c r="A796" s="237" t="str">
        <f>name!E$9</f>
        <v>Caring, leisure and other service occupations</v>
      </c>
      <c r="B796" s="302">
        <v>0.60951990893313979</v>
      </c>
      <c r="C796" s="302">
        <v>0.17200288965177779</v>
      </c>
      <c r="D796" s="302">
        <f t="shared" si="292"/>
        <v>0.78152279858491758</v>
      </c>
      <c r="E796" s="303"/>
      <c r="F796" s="302">
        <v>0.2762470947701256</v>
      </c>
      <c r="G796" s="302">
        <v>9.3057454377845267E-2</v>
      </c>
      <c r="H796" s="302">
        <f t="shared" si="293"/>
        <v>0.36930454914797084</v>
      </c>
      <c r="I796" s="303"/>
      <c r="J796" s="302">
        <v>0.33288500478028393</v>
      </c>
      <c r="K796" s="302">
        <v>0.13048491809505816</v>
      </c>
      <c r="L796" s="302">
        <f t="shared" si="294"/>
        <v>0.46336992287534207</v>
      </c>
      <c r="M796" s="236"/>
      <c r="N796" s="236"/>
    </row>
    <row r="797" spans="1:14" x14ac:dyDescent="0.2">
      <c r="A797" s="237" t="str">
        <f>name!E$10</f>
        <v>Sales and customer service occupations</v>
      </c>
      <c r="B797" s="302">
        <v>0.39652507147682792</v>
      </c>
      <c r="C797" s="302">
        <v>0.15866380096250571</v>
      </c>
      <c r="D797" s="302">
        <f t="shared" si="292"/>
        <v>0.55518887243933368</v>
      </c>
      <c r="E797" s="303"/>
      <c r="F797" s="302">
        <v>0.17170863560386326</v>
      </c>
      <c r="G797" s="302">
        <v>9.7790832885194384E-2</v>
      </c>
      <c r="H797" s="302">
        <f t="shared" si="293"/>
        <v>0.26949946848905765</v>
      </c>
      <c r="I797" s="303"/>
      <c r="J797" s="302">
        <v>0.19449856138243166</v>
      </c>
      <c r="K797" s="302">
        <v>0.15388491952543193</v>
      </c>
      <c r="L797" s="302">
        <f t="shared" si="294"/>
        <v>0.34838348090786359</v>
      </c>
      <c r="M797" s="236"/>
      <c r="N797" s="236"/>
    </row>
    <row r="798" spans="1:14" x14ac:dyDescent="0.2">
      <c r="A798" s="237" t="str">
        <f>name!E$11</f>
        <v>Process, plant and machine operatives</v>
      </c>
      <c r="B798" s="302">
        <v>0.13112175583995145</v>
      </c>
      <c r="C798" s="302">
        <v>0.2012957821232732</v>
      </c>
      <c r="D798" s="302">
        <f t="shared" si="292"/>
        <v>0.33241753796322465</v>
      </c>
      <c r="E798" s="303"/>
      <c r="F798" s="302">
        <v>4.6878945350590957E-2</v>
      </c>
      <c r="G798" s="302">
        <v>0.10221044798553437</v>
      </c>
      <c r="H798" s="302">
        <f t="shared" si="293"/>
        <v>0.14908939333612534</v>
      </c>
      <c r="I798" s="303"/>
      <c r="J798" s="302">
        <v>5.5001707220981785E-2</v>
      </c>
      <c r="K798" s="302">
        <v>0.12982035477825921</v>
      </c>
      <c r="L798" s="302">
        <f t="shared" si="294"/>
        <v>0.18482206199924101</v>
      </c>
      <c r="M798" s="236"/>
      <c r="N798" s="236"/>
    </row>
    <row r="799" spans="1:14" x14ac:dyDescent="0.2">
      <c r="A799" s="237" t="str">
        <f>name!E$12</f>
        <v>Elementary occupations</v>
      </c>
      <c r="B799" s="302">
        <v>0.95069778409677197</v>
      </c>
      <c r="C799" s="302">
        <v>1.1068203742959053</v>
      </c>
      <c r="D799" s="302">
        <f t="shared" si="292"/>
        <v>2.0575181583926772</v>
      </c>
      <c r="E799" s="303"/>
      <c r="F799" s="302">
        <v>0.3694402127848016</v>
      </c>
      <c r="G799" s="302">
        <v>0.56321652044208947</v>
      </c>
      <c r="H799" s="302">
        <f t="shared" si="293"/>
        <v>0.93265673322689113</v>
      </c>
      <c r="I799" s="303"/>
      <c r="J799" s="302">
        <v>0.45793517226864255</v>
      </c>
      <c r="K799" s="302">
        <v>0.53429355578654336</v>
      </c>
      <c r="L799" s="302">
        <f t="shared" si="294"/>
        <v>0.99222872805518592</v>
      </c>
      <c r="M799" s="236"/>
      <c r="N799" s="236"/>
    </row>
    <row r="800" spans="1:14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2">
      <c r="A801" s="244" t="s">
        <v>32</v>
      </c>
      <c r="B801" s="311">
        <f>SUM(B791:B799)</f>
        <v>6.6779999999847925</v>
      </c>
      <c r="C801" s="311">
        <f t="shared" ref="C801:D801" si="295">SUM(C791:C799)</f>
        <v>6.2709999999825365</v>
      </c>
      <c r="D801" s="311">
        <f t="shared" si="295"/>
        <v>12.948999999967329</v>
      </c>
      <c r="E801" s="311"/>
      <c r="F801" s="311">
        <f t="shared" ref="F801:H801" si="296">SUM(F791:F799)</f>
        <v>3.3099999999779075</v>
      </c>
      <c r="G801" s="311">
        <f t="shared" si="296"/>
        <v>2.9229999999750857</v>
      </c>
      <c r="H801" s="311">
        <f t="shared" si="296"/>
        <v>6.2329999999529937</v>
      </c>
      <c r="I801" s="311"/>
      <c r="J801" s="311">
        <f t="shared" ref="J801:L801" si="297">SUM(J791:J799)</f>
        <v>3.8619999999949997</v>
      </c>
      <c r="K801" s="311">
        <f t="shared" si="297"/>
        <v>3.2439999999816425</v>
      </c>
      <c r="L801" s="311">
        <f t="shared" si="297"/>
        <v>7.1059999999766417</v>
      </c>
      <c r="M801" s="236"/>
      <c r="N801" s="236"/>
    </row>
    <row r="802" spans="1:14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2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2">
      <c r="A805" s="241" t="str">
        <f>name!A50</f>
        <v>Financial services</v>
      </c>
      <c r="B805" s="372">
        <f>B$6</f>
        <v>2015</v>
      </c>
      <c r="C805" s="372"/>
      <c r="D805" s="372"/>
      <c r="E805" s="253"/>
      <c r="F805" s="372">
        <f>F$6</f>
        <v>2020</v>
      </c>
      <c r="G805" s="372"/>
      <c r="H805" s="372"/>
      <c r="I805" s="253"/>
      <c r="J805" s="372">
        <f>J$6</f>
        <v>2035</v>
      </c>
      <c r="K805" s="372"/>
      <c r="L805" s="372"/>
      <c r="M805" s="236"/>
      <c r="N805" s="236"/>
    </row>
    <row r="806" spans="1:14" x14ac:dyDescent="0.2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2">
      <c r="A808" s="237" t="str">
        <f>name!E$4</f>
        <v>Managers, directors and senior officials</v>
      </c>
      <c r="B808" s="302">
        <v>2.6768476141212698</v>
      </c>
      <c r="C808" s="302">
        <v>4.8376735686680847</v>
      </c>
      <c r="D808" s="302">
        <f>SUM(B808:C808)</f>
        <v>7.5145211827893545</v>
      </c>
      <c r="E808" s="303"/>
      <c r="F808" s="302">
        <v>3.0238468780325864</v>
      </c>
      <c r="G808" s="302">
        <v>4.4957499033073356</v>
      </c>
      <c r="H808" s="302">
        <f>SUM(F808:G808)</f>
        <v>7.5195967813399225</v>
      </c>
      <c r="I808" s="303"/>
      <c r="J808" s="302">
        <v>3.4645669502079213</v>
      </c>
      <c r="K808" s="302">
        <v>4.028482900161503</v>
      </c>
      <c r="L808" s="302">
        <f>SUM(J808:K808)</f>
        <v>7.4930498503694238</v>
      </c>
      <c r="M808" s="236"/>
      <c r="N808" s="236"/>
    </row>
    <row r="809" spans="1:14" x14ac:dyDescent="0.2">
      <c r="A809" s="237" t="str">
        <f>name!E$5</f>
        <v>Professional occupations</v>
      </c>
      <c r="B809" s="302">
        <v>2.3748445770439832</v>
      </c>
      <c r="C809" s="302">
        <v>5.8228416788828179</v>
      </c>
      <c r="D809" s="302">
        <f t="shared" ref="D809:D816" si="298">SUM(B809:C809)</f>
        <v>8.1976862559268007</v>
      </c>
      <c r="E809" s="303"/>
      <c r="F809" s="302">
        <v>3.0698290044701224</v>
      </c>
      <c r="G809" s="302">
        <v>6.0811220358535953</v>
      </c>
      <c r="H809" s="302">
        <f t="shared" ref="H809:H816" si="299">SUM(F809:G809)</f>
        <v>9.1509510403237186</v>
      </c>
      <c r="I809" s="303"/>
      <c r="J809" s="302">
        <v>3.6839287694615477</v>
      </c>
      <c r="K809" s="302">
        <v>6.8801495930520229</v>
      </c>
      <c r="L809" s="302">
        <f t="shared" ref="L809:L816" si="300">SUM(J809:K809)</f>
        <v>10.56407836251357</v>
      </c>
      <c r="M809" s="236"/>
      <c r="N809" s="236"/>
    </row>
    <row r="810" spans="1:14" x14ac:dyDescent="0.2">
      <c r="A810" s="237" t="str">
        <f>name!E$6</f>
        <v>Associate professional occupations</v>
      </c>
      <c r="B810" s="302">
        <v>3.2579860807111558</v>
      </c>
      <c r="C810" s="302">
        <v>4.4631760002178105</v>
      </c>
      <c r="D810" s="302">
        <f t="shared" si="298"/>
        <v>7.7211620809289663</v>
      </c>
      <c r="E810" s="303"/>
      <c r="F810" s="302">
        <v>3.4025264106776962</v>
      </c>
      <c r="G810" s="302">
        <v>4.1207461655105613</v>
      </c>
      <c r="H810" s="302">
        <f t="shared" si="299"/>
        <v>7.5232725761882575</v>
      </c>
      <c r="I810" s="303"/>
      <c r="J810" s="302">
        <v>3.4027920114261074</v>
      </c>
      <c r="K810" s="302">
        <v>3.4808589573827264</v>
      </c>
      <c r="L810" s="302">
        <f t="shared" si="300"/>
        <v>6.8836509688088334</v>
      </c>
      <c r="M810" s="236"/>
      <c r="N810" s="236"/>
    </row>
    <row r="811" spans="1:14" x14ac:dyDescent="0.2">
      <c r="A811" s="237" t="str">
        <f>name!E$7</f>
        <v>Administrative and secretarial occupations</v>
      </c>
      <c r="B811" s="302">
        <v>10.039643069022535</v>
      </c>
      <c r="C811" s="302">
        <v>3.7878735977652442</v>
      </c>
      <c r="D811" s="302">
        <f t="shared" si="298"/>
        <v>13.82751666678778</v>
      </c>
      <c r="E811" s="303"/>
      <c r="F811" s="302">
        <v>8.2890329612569165</v>
      </c>
      <c r="G811" s="302">
        <v>3.3732159928328054</v>
      </c>
      <c r="H811" s="302">
        <f t="shared" si="299"/>
        <v>11.662248954089723</v>
      </c>
      <c r="I811" s="303"/>
      <c r="J811" s="302">
        <v>5.9642237469059722</v>
      </c>
      <c r="K811" s="302">
        <v>2.9809939003115233</v>
      </c>
      <c r="L811" s="302">
        <f t="shared" si="300"/>
        <v>8.9452176472174951</v>
      </c>
      <c r="M811" s="236"/>
      <c r="N811" s="236"/>
    </row>
    <row r="812" spans="1:14" x14ac:dyDescent="0.2">
      <c r="A812" s="237" t="str">
        <f>name!E$8</f>
        <v>Skilled trades occupations</v>
      </c>
      <c r="B812" s="302">
        <v>6.4751453892224226E-2</v>
      </c>
      <c r="C812" s="302">
        <v>0.58730807980989053</v>
      </c>
      <c r="D812" s="302">
        <f t="shared" si="298"/>
        <v>0.65205953370211478</v>
      </c>
      <c r="E812" s="303"/>
      <c r="F812" s="302">
        <v>5.9392010307951354E-2</v>
      </c>
      <c r="G812" s="302">
        <v>0.32848604844075396</v>
      </c>
      <c r="H812" s="302">
        <f t="shared" si="299"/>
        <v>0.38787805874870529</v>
      </c>
      <c r="I812" s="303"/>
      <c r="J812" s="302">
        <v>0.1267795835181644</v>
      </c>
      <c r="K812" s="302">
        <v>0.27700812287575072</v>
      </c>
      <c r="L812" s="302">
        <f t="shared" si="300"/>
        <v>0.40378770639391515</v>
      </c>
      <c r="M812" s="236"/>
      <c r="N812" s="236"/>
    </row>
    <row r="813" spans="1:14" x14ac:dyDescent="0.2">
      <c r="A813" s="237" t="str">
        <f>name!E$9</f>
        <v>Caring, leisure and other service occupations</v>
      </c>
      <c r="B813" s="302">
        <v>5.7260746516739028E-2</v>
      </c>
      <c r="C813" s="302">
        <v>6.7012589064612826E-2</v>
      </c>
      <c r="D813" s="302">
        <f t="shared" si="298"/>
        <v>0.12427333558135185</v>
      </c>
      <c r="E813" s="303"/>
      <c r="F813" s="302">
        <v>5.1271914527717677E-2</v>
      </c>
      <c r="G813" s="302">
        <v>3.7143439038680011E-2</v>
      </c>
      <c r="H813" s="302">
        <f t="shared" si="299"/>
        <v>8.8415353566397681E-2</v>
      </c>
      <c r="I813" s="303"/>
      <c r="J813" s="302">
        <v>4.9730495320127209E-2</v>
      </c>
      <c r="K813" s="302">
        <v>4.3469689598682665E-2</v>
      </c>
      <c r="L813" s="302">
        <f t="shared" si="300"/>
        <v>9.3200184918809881E-2</v>
      </c>
      <c r="M813" s="236"/>
      <c r="N813" s="236"/>
    </row>
    <row r="814" spans="1:14" x14ac:dyDescent="0.2">
      <c r="A814" s="237" t="str">
        <f>name!E$10</f>
        <v>Sales and customer service occupations</v>
      </c>
      <c r="B814" s="302">
        <v>2.2239115018422528</v>
      </c>
      <c r="C814" s="302">
        <v>1.0523219310339496</v>
      </c>
      <c r="D814" s="302">
        <f t="shared" si="298"/>
        <v>3.2762334328762024</v>
      </c>
      <c r="E814" s="303"/>
      <c r="F814" s="302">
        <v>2.0875846809389484</v>
      </c>
      <c r="G814" s="302">
        <v>0.72934058836768489</v>
      </c>
      <c r="H814" s="302">
        <f t="shared" si="299"/>
        <v>2.8169252693066333</v>
      </c>
      <c r="I814" s="303"/>
      <c r="J814" s="302">
        <v>2.2680547513195153</v>
      </c>
      <c r="K814" s="302">
        <v>0.84683215764458719</v>
      </c>
      <c r="L814" s="302">
        <f t="shared" si="300"/>
        <v>3.1148869089641025</v>
      </c>
      <c r="M814" s="236"/>
      <c r="N814" s="236"/>
    </row>
    <row r="815" spans="1:14" x14ac:dyDescent="0.2">
      <c r="A815" s="237" t="str">
        <f>name!E$11</f>
        <v>Process, plant and machine operatives</v>
      </c>
      <c r="B815" s="302">
        <v>4.4371125606681487E-2</v>
      </c>
      <c r="C815" s="302">
        <v>0.1775946734893985</v>
      </c>
      <c r="D815" s="302">
        <f t="shared" si="298"/>
        <v>0.22196579909608</v>
      </c>
      <c r="E815" s="303"/>
      <c r="F815" s="302">
        <v>2.9364247112932472E-2</v>
      </c>
      <c r="G815" s="302">
        <v>9.4060471087813402E-2</v>
      </c>
      <c r="H815" s="302">
        <f t="shared" si="299"/>
        <v>0.12342471820074588</v>
      </c>
      <c r="I815" s="303"/>
      <c r="J815" s="302">
        <v>3.5423621954212163E-2</v>
      </c>
      <c r="K815" s="302">
        <v>0.10960559409605335</v>
      </c>
      <c r="L815" s="302">
        <f t="shared" si="300"/>
        <v>0.1450292160502655</v>
      </c>
      <c r="M815" s="236"/>
      <c r="N815" s="236"/>
    </row>
    <row r="816" spans="1:14" x14ac:dyDescent="0.2">
      <c r="A816" s="237" t="str">
        <f>name!E$12</f>
        <v>Elementary occupations</v>
      </c>
      <c r="B816" s="302">
        <v>0.11338383114608631</v>
      </c>
      <c r="C816" s="302">
        <v>0.33319788093597263</v>
      </c>
      <c r="D816" s="302">
        <f t="shared" si="298"/>
        <v>0.44658171208205893</v>
      </c>
      <c r="E816" s="303"/>
      <c r="F816" s="302">
        <v>0.10615189253584296</v>
      </c>
      <c r="G816" s="302">
        <v>0.19913535522778872</v>
      </c>
      <c r="H816" s="302">
        <f t="shared" si="299"/>
        <v>0.3052872477636317</v>
      </c>
      <c r="I816" s="303"/>
      <c r="J816" s="302">
        <v>9.6500070007890515E-2</v>
      </c>
      <c r="K816" s="302">
        <v>0.17259908453244557</v>
      </c>
      <c r="L816" s="302">
        <f t="shared" si="300"/>
        <v>0.26909915454033606</v>
      </c>
      <c r="M816" s="236"/>
      <c r="N816" s="236"/>
    </row>
    <row r="817" spans="1:14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2">
      <c r="A818" s="244" t="s">
        <v>32</v>
      </c>
      <c r="B818" s="311">
        <f>SUM(B808:B816)</f>
        <v>20.852999999902931</v>
      </c>
      <c r="C818" s="311">
        <f t="shared" ref="C818:D818" si="301">SUM(C808:C816)</f>
        <v>21.12899999986778</v>
      </c>
      <c r="D818" s="311">
        <f t="shared" si="301"/>
        <v>41.981999999770707</v>
      </c>
      <c r="E818" s="311"/>
      <c r="F818" s="311">
        <f t="shared" ref="F818:H818" si="302">SUM(F808:F816)</f>
        <v>20.118999999860716</v>
      </c>
      <c r="G818" s="311">
        <f t="shared" si="302"/>
        <v>19.458999999667018</v>
      </c>
      <c r="H818" s="311">
        <f t="shared" si="302"/>
        <v>39.577999999527727</v>
      </c>
      <c r="I818" s="311"/>
      <c r="J818" s="311">
        <f t="shared" ref="J818:L818" si="303">SUM(J808:J816)</f>
        <v>19.092000000121459</v>
      </c>
      <c r="K818" s="311">
        <f t="shared" si="303"/>
        <v>18.819999999655298</v>
      </c>
      <c r="L818" s="311">
        <f t="shared" si="303"/>
        <v>37.911999999776747</v>
      </c>
      <c r="M818" s="236"/>
      <c r="N818" s="236"/>
    </row>
    <row r="819" spans="1:14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2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2">
      <c r="A822" s="241" t="str">
        <f>name!A51</f>
        <v>Insurance and pensions</v>
      </c>
      <c r="B822" s="372">
        <f>B$6</f>
        <v>2015</v>
      </c>
      <c r="C822" s="372"/>
      <c r="D822" s="372"/>
      <c r="E822" s="253"/>
      <c r="F822" s="372">
        <f>F$6</f>
        <v>2020</v>
      </c>
      <c r="G822" s="372"/>
      <c r="H822" s="372"/>
      <c r="I822" s="253"/>
      <c r="J822" s="372">
        <f>J$6</f>
        <v>2035</v>
      </c>
      <c r="K822" s="372"/>
      <c r="L822" s="372"/>
      <c r="M822" s="236"/>
      <c r="N822" s="236"/>
    </row>
    <row r="823" spans="1:14" x14ac:dyDescent="0.2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2">
      <c r="A825" s="237" t="str">
        <f>name!E$4</f>
        <v>Managers, directors and senior officials</v>
      </c>
      <c r="B825" s="302">
        <v>0.37857563144471928</v>
      </c>
      <c r="C825" s="302">
        <v>0.61371025525756806</v>
      </c>
      <c r="D825" s="302">
        <f>SUM(B825:C825)</f>
        <v>0.99228588670228735</v>
      </c>
      <c r="E825" s="303"/>
      <c r="F825" s="302">
        <v>0.53810729322530593</v>
      </c>
      <c r="G825" s="302">
        <v>0.69968515811424858</v>
      </c>
      <c r="H825" s="302">
        <f>SUM(F825:G825)</f>
        <v>1.2377924513395544</v>
      </c>
      <c r="I825" s="303"/>
      <c r="J825" s="302">
        <v>0.59489410183017055</v>
      </c>
      <c r="K825" s="302">
        <v>0.62546042870496366</v>
      </c>
      <c r="L825" s="302">
        <f>SUM(J825:K825)</f>
        <v>1.2203545305351342</v>
      </c>
      <c r="M825" s="236"/>
      <c r="N825" s="236"/>
    </row>
    <row r="826" spans="1:14" x14ac:dyDescent="0.2">
      <c r="A826" s="237" t="str">
        <f>name!E$5</f>
        <v>Professional occupations</v>
      </c>
      <c r="B826" s="302">
        <v>0.78672445166548299</v>
      </c>
      <c r="C826" s="302">
        <v>1.0151208254089432</v>
      </c>
      <c r="D826" s="302">
        <f t="shared" ref="D826:D833" si="304">SUM(B826:C826)</f>
        <v>1.8018452770744262</v>
      </c>
      <c r="E826" s="303"/>
      <c r="F826" s="302">
        <v>1.2263239169649829</v>
      </c>
      <c r="G826" s="302">
        <v>1.3675988598179527</v>
      </c>
      <c r="H826" s="302">
        <f t="shared" ref="H826:H833" si="305">SUM(F826:G826)</f>
        <v>2.5939227767829358</v>
      </c>
      <c r="I826" s="303"/>
      <c r="J826" s="302">
        <v>1.4283674669530861</v>
      </c>
      <c r="K826" s="302">
        <v>1.5644765150111575</v>
      </c>
      <c r="L826" s="302">
        <f t="shared" ref="L826:L833" si="306">SUM(J826:K826)</f>
        <v>2.9928439819642438</v>
      </c>
      <c r="M826" s="236"/>
      <c r="N826" s="236"/>
    </row>
    <row r="827" spans="1:14" x14ac:dyDescent="0.2">
      <c r="A827" s="237" t="str">
        <f>name!E$6</f>
        <v>Associate professional occupations</v>
      </c>
      <c r="B827" s="302">
        <v>0.8536080093838655</v>
      </c>
      <c r="C827" s="302">
        <v>1.2397845159185632</v>
      </c>
      <c r="D827" s="302">
        <f t="shared" si="304"/>
        <v>2.0933925253024288</v>
      </c>
      <c r="E827" s="303"/>
      <c r="F827" s="302">
        <v>1.1389941398965493</v>
      </c>
      <c r="G827" s="302">
        <v>1.3895808410028003</v>
      </c>
      <c r="H827" s="302">
        <f t="shared" si="305"/>
        <v>2.5285749808993496</v>
      </c>
      <c r="I827" s="303"/>
      <c r="J827" s="302">
        <v>1.1186616377766085</v>
      </c>
      <c r="K827" s="302">
        <v>1.1090768894963974</v>
      </c>
      <c r="L827" s="302">
        <f t="shared" si="306"/>
        <v>2.2277385272730061</v>
      </c>
      <c r="M827" s="236"/>
      <c r="N827" s="236"/>
    </row>
    <row r="828" spans="1:14" x14ac:dyDescent="0.2">
      <c r="A828" s="237" t="str">
        <f>name!E$7</f>
        <v>Administrative and secretarial occupations</v>
      </c>
      <c r="B828" s="302">
        <v>1.3503667744787906</v>
      </c>
      <c r="C828" s="302">
        <v>0.86351289502652828</v>
      </c>
      <c r="D828" s="302">
        <f t="shared" si="304"/>
        <v>2.2138796695053191</v>
      </c>
      <c r="E828" s="303"/>
      <c r="F828" s="302">
        <v>1.4643997057138274</v>
      </c>
      <c r="G828" s="302">
        <v>1.0196733590714173</v>
      </c>
      <c r="H828" s="302">
        <f t="shared" si="305"/>
        <v>2.4840730647852447</v>
      </c>
      <c r="I828" s="303"/>
      <c r="J828" s="302">
        <v>0.95390883735666088</v>
      </c>
      <c r="K828" s="302">
        <v>0.88792514165710146</v>
      </c>
      <c r="L828" s="302">
        <f t="shared" si="306"/>
        <v>1.8418339790137623</v>
      </c>
      <c r="M828" s="236"/>
      <c r="N828" s="236"/>
    </row>
    <row r="829" spans="1:14" x14ac:dyDescent="0.2">
      <c r="A829" s="237" t="str">
        <f>name!E$8</f>
        <v>Skilled trades occupations</v>
      </c>
      <c r="B829" s="302">
        <v>4.374419348920041E-2</v>
      </c>
      <c r="C829" s="302">
        <v>0.25273247085718892</v>
      </c>
      <c r="D829" s="302">
        <f t="shared" si="304"/>
        <v>0.29647666434638931</v>
      </c>
      <c r="E829" s="303"/>
      <c r="F829" s="302">
        <v>5.3148875559668365E-2</v>
      </c>
      <c r="G829" s="302">
        <v>0.15224650198572676</v>
      </c>
      <c r="H829" s="302">
        <f t="shared" si="305"/>
        <v>0.20539537754539511</v>
      </c>
      <c r="I829" s="303"/>
      <c r="J829" s="302">
        <v>8.3522674579063816E-2</v>
      </c>
      <c r="K829" s="302">
        <v>0.12604022409504523</v>
      </c>
      <c r="L829" s="302">
        <f t="shared" si="306"/>
        <v>0.20956289867410904</v>
      </c>
      <c r="M829" s="236"/>
      <c r="N829" s="236"/>
    </row>
    <row r="830" spans="1:14" x14ac:dyDescent="0.2">
      <c r="A830" s="237" t="str">
        <f>name!E$9</f>
        <v>Caring, leisure and other service occupations</v>
      </c>
      <c r="B830" s="302">
        <v>0.15290761030365116</v>
      </c>
      <c r="C830" s="302">
        <v>0.15791647564337188</v>
      </c>
      <c r="D830" s="302">
        <f t="shared" si="304"/>
        <v>0.31082408594702304</v>
      </c>
      <c r="E830" s="303"/>
      <c r="F830" s="302">
        <v>0.17035925560349022</v>
      </c>
      <c r="G830" s="302">
        <v>0.17133086291779548</v>
      </c>
      <c r="H830" s="302">
        <f t="shared" si="305"/>
        <v>0.34169011852128572</v>
      </c>
      <c r="I830" s="303"/>
      <c r="J830" s="302">
        <v>0.16835599589880992</v>
      </c>
      <c r="K830" s="302">
        <v>0.22207958257800198</v>
      </c>
      <c r="L830" s="302">
        <f t="shared" si="306"/>
        <v>0.39043557847681187</v>
      </c>
      <c r="M830" s="236"/>
      <c r="N830" s="236"/>
    </row>
    <row r="831" spans="1:14" x14ac:dyDescent="0.2">
      <c r="A831" s="237" t="str">
        <f>name!E$10</f>
        <v>Sales and customer service occupations</v>
      </c>
      <c r="B831" s="302">
        <v>0.59045521514065302</v>
      </c>
      <c r="C831" s="302">
        <v>0.50133557533061135</v>
      </c>
      <c r="D831" s="302">
        <f t="shared" si="304"/>
        <v>1.0917907904712645</v>
      </c>
      <c r="E831" s="303"/>
      <c r="F831" s="302">
        <v>0.67457064296995273</v>
      </c>
      <c r="G831" s="302">
        <v>0.48991516088050469</v>
      </c>
      <c r="H831" s="302">
        <f t="shared" si="305"/>
        <v>1.1644858038504573</v>
      </c>
      <c r="I831" s="303"/>
      <c r="J831" s="302">
        <v>0.64904586726545621</v>
      </c>
      <c r="K831" s="302">
        <v>0.55406016971219785</v>
      </c>
      <c r="L831" s="302">
        <f t="shared" si="306"/>
        <v>1.2031060369776541</v>
      </c>
      <c r="M831" s="236"/>
      <c r="N831" s="236"/>
    </row>
    <row r="832" spans="1:14" x14ac:dyDescent="0.2">
      <c r="A832" s="237" t="str">
        <f>name!E$11</f>
        <v>Process, plant and machine operatives</v>
      </c>
      <c r="B832" s="302">
        <v>1.9894431295666436E-2</v>
      </c>
      <c r="C832" s="302">
        <v>4.9352875590758821E-2</v>
      </c>
      <c r="D832" s="302">
        <f t="shared" si="304"/>
        <v>6.9247306886425261E-2</v>
      </c>
      <c r="E832" s="303"/>
      <c r="F832" s="302">
        <v>1.792667353252848E-2</v>
      </c>
      <c r="G832" s="302">
        <v>3.8154926428545358E-2</v>
      </c>
      <c r="H832" s="302">
        <f t="shared" si="305"/>
        <v>5.6081599961073841E-2</v>
      </c>
      <c r="I832" s="303"/>
      <c r="J832" s="302">
        <v>2.0379892268789845E-2</v>
      </c>
      <c r="K832" s="302">
        <v>3.9697555347126337E-2</v>
      </c>
      <c r="L832" s="302">
        <f t="shared" si="306"/>
        <v>6.0077447615916185E-2</v>
      </c>
      <c r="M832" s="236"/>
      <c r="N832" s="236"/>
    </row>
    <row r="833" spans="1:14" x14ac:dyDescent="0.2">
      <c r="A833" s="237" t="str">
        <f>name!E$12</f>
        <v>Elementary occupations</v>
      </c>
      <c r="B833" s="302">
        <v>4.6723682784884986E-2</v>
      </c>
      <c r="C833" s="302">
        <v>9.3534110938484433E-2</v>
      </c>
      <c r="D833" s="302">
        <f t="shared" si="304"/>
        <v>0.14025779372336941</v>
      </c>
      <c r="E833" s="303"/>
      <c r="F833" s="302">
        <v>4.8169496490474868E-2</v>
      </c>
      <c r="G833" s="302">
        <v>7.4814329699505147E-2</v>
      </c>
      <c r="H833" s="302">
        <f t="shared" si="305"/>
        <v>0.12298382618998002</v>
      </c>
      <c r="I833" s="303"/>
      <c r="J833" s="302">
        <v>4.0863526109396205E-2</v>
      </c>
      <c r="K833" s="302">
        <v>6.5183493315057794E-2</v>
      </c>
      <c r="L833" s="302">
        <f t="shared" si="306"/>
        <v>0.10604701942445399</v>
      </c>
      <c r="M833" s="236"/>
      <c r="N833" s="236"/>
    </row>
    <row r="834" spans="1:14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2">
      <c r="A835" s="244" t="s">
        <v>32</v>
      </c>
      <c r="B835" s="311">
        <f>SUM(B825:B833)</f>
        <v>4.2229999999869143</v>
      </c>
      <c r="C835" s="311">
        <f t="shared" ref="C835:D835" si="307">SUM(C825:C833)</f>
        <v>4.7869999999720179</v>
      </c>
      <c r="D835" s="311">
        <f t="shared" si="307"/>
        <v>9.0099999999589322</v>
      </c>
      <c r="E835" s="311"/>
      <c r="F835" s="311">
        <f t="shared" ref="F835:H835" si="308">SUM(F825:F833)</f>
        <v>5.3319999999567802</v>
      </c>
      <c r="G835" s="311">
        <f t="shared" si="308"/>
        <v>5.402999999918495</v>
      </c>
      <c r="H835" s="311">
        <f t="shared" si="308"/>
        <v>10.734999999875276</v>
      </c>
      <c r="I835" s="311"/>
      <c r="J835" s="311">
        <f t="shared" ref="J835:L835" si="309">SUM(J825:J833)</f>
        <v>5.0580000000380414</v>
      </c>
      <c r="K835" s="311">
        <f t="shared" si="309"/>
        <v>5.1939999999170485</v>
      </c>
      <c r="L835" s="311">
        <f t="shared" si="309"/>
        <v>10.251999999955091</v>
      </c>
      <c r="M835" s="236"/>
      <c r="N835" s="236"/>
    </row>
    <row r="836" spans="1:14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2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2">
      <c r="A839" s="241" t="str">
        <f>name!A52</f>
        <v>Auxiliary financial services</v>
      </c>
      <c r="B839" s="372">
        <f>B$6</f>
        <v>2015</v>
      </c>
      <c r="C839" s="372"/>
      <c r="D839" s="372"/>
      <c r="E839" s="253"/>
      <c r="F839" s="372">
        <f>F$6</f>
        <v>2020</v>
      </c>
      <c r="G839" s="372"/>
      <c r="H839" s="372"/>
      <c r="I839" s="253"/>
      <c r="J839" s="372">
        <f>J$6</f>
        <v>2035</v>
      </c>
      <c r="K839" s="372"/>
      <c r="L839" s="372"/>
      <c r="M839" s="236"/>
      <c r="N839" s="236"/>
    </row>
    <row r="840" spans="1:14" x14ac:dyDescent="0.2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2">
      <c r="A842" s="237" t="str">
        <f>name!E$4</f>
        <v>Managers, directors and senior officials</v>
      </c>
      <c r="B842" s="302">
        <v>1.8790912422897781</v>
      </c>
      <c r="C842" s="302">
        <v>4.5260105130836115</v>
      </c>
      <c r="D842" s="302">
        <f>SUM(B842:C842)</f>
        <v>6.4051017553733898</v>
      </c>
      <c r="E842" s="303"/>
      <c r="F842" s="302">
        <v>2.1962727584624875</v>
      </c>
      <c r="G842" s="302">
        <v>4.3403705432831163</v>
      </c>
      <c r="H842" s="302">
        <f>SUM(F842:G842)</f>
        <v>6.5366433017456043</v>
      </c>
      <c r="I842" s="303"/>
      <c r="J842" s="302">
        <v>2.5398552390114815</v>
      </c>
      <c r="K842" s="302">
        <v>4.0724346865220706</v>
      </c>
      <c r="L842" s="302">
        <f>SUM(J842:K842)</f>
        <v>6.6122899255335525</v>
      </c>
      <c r="M842" s="236"/>
      <c r="N842" s="236"/>
    </row>
    <row r="843" spans="1:14" x14ac:dyDescent="0.2">
      <c r="A843" s="237" t="str">
        <f>name!E$5</f>
        <v>Professional occupations</v>
      </c>
      <c r="B843" s="302">
        <v>2.632115624167183</v>
      </c>
      <c r="C843" s="302">
        <v>4.5209478479165925</v>
      </c>
      <c r="D843" s="302">
        <f t="shared" ref="D843:D850" si="310">SUM(B843:C843)</f>
        <v>7.153063472083776</v>
      </c>
      <c r="E843" s="303"/>
      <c r="F843" s="302">
        <v>3.5074622320896154</v>
      </c>
      <c r="G843" s="302">
        <v>4.8719919086588837</v>
      </c>
      <c r="H843" s="302">
        <f t="shared" ref="H843:H850" si="311">SUM(F843:G843)</f>
        <v>8.3794541407484999</v>
      </c>
      <c r="I843" s="303"/>
      <c r="J843" s="302">
        <v>4.3080371449577779</v>
      </c>
      <c r="K843" s="302">
        <v>5.6280256106589786</v>
      </c>
      <c r="L843" s="302">
        <f t="shared" ref="L843:L850" si="312">SUM(J843:K843)</f>
        <v>9.9360627556167564</v>
      </c>
      <c r="M843" s="236"/>
      <c r="N843" s="236"/>
    </row>
    <row r="844" spans="1:14" x14ac:dyDescent="0.2">
      <c r="A844" s="237" t="str">
        <f>name!E$6</f>
        <v>Associate professional occupations</v>
      </c>
      <c r="B844" s="302">
        <v>3.7817348052352542</v>
      </c>
      <c r="C844" s="302">
        <v>5.7936771686602446</v>
      </c>
      <c r="D844" s="302">
        <f t="shared" si="310"/>
        <v>9.5754119738954984</v>
      </c>
      <c r="E844" s="303"/>
      <c r="F844" s="302">
        <v>4.2267731327560556</v>
      </c>
      <c r="G844" s="302">
        <v>5.3408005581733766</v>
      </c>
      <c r="H844" s="302">
        <f t="shared" si="311"/>
        <v>9.5675736909294322</v>
      </c>
      <c r="I844" s="303"/>
      <c r="J844" s="302">
        <v>4.3006457327658483</v>
      </c>
      <c r="K844" s="302">
        <v>4.6084467399000548</v>
      </c>
      <c r="L844" s="302">
        <f t="shared" si="312"/>
        <v>8.909092472665904</v>
      </c>
      <c r="M844" s="236"/>
      <c r="N844" s="236"/>
    </row>
    <row r="845" spans="1:14" x14ac:dyDescent="0.2">
      <c r="A845" s="237" t="str">
        <f>name!E$7</f>
        <v>Administrative and secretarial occupations</v>
      </c>
      <c r="B845" s="302">
        <v>7.1512551645419418</v>
      </c>
      <c r="C845" s="302">
        <v>1.652380992976703</v>
      </c>
      <c r="D845" s="302">
        <f t="shared" si="310"/>
        <v>8.8036361575186444</v>
      </c>
      <c r="E845" s="303"/>
      <c r="F845" s="302">
        <v>6.5197849440579381</v>
      </c>
      <c r="G845" s="302">
        <v>1.5365055520623117</v>
      </c>
      <c r="H845" s="302">
        <f t="shared" si="311"/>
        <v>8.0562904961202495</v>
      </c>
      <c r="I845" s="303"/>
      <c r="J845" s="302">
        <v>4.322425230029685</v>
      </c>
      <c r="K845" s="302">
        <v>1.1833512363867016</v>
      </c>
      <c r="L845" s="302">
        <f t="shared" si="312"/>
        <v>5.5057764664163864</v>
      </c>
      <c r="M845" s="236"/>
      <c r="N845" s="236"/>
    </row>
    <row r="846" spans="1:14" x14ac:dyDescent="0.2">
      <c r="A846" s="237" t="str">
        <f>name!E$8</f>
        <v>Skilled trades occupations</v>
      </c>
      <c r="B846" s="302">
        <v>0.11801946388910509</v>
      </c>
      <c r="C846" s="302">
        <v>0.68566480913862704</v>
      </c>
      <c r="D846" s="302">
        <f t="shared" si="310"/>
        <v>0.80368427302773215</v>
      </c>
      <c r="E846" s="303"/>
      <c r="F846" s="302">
        <v>0.11864601161510356</v>
      </c>
      <c r="G846" s="302">
        <v>0.36424000219892899</v>
      </c>
      <c r="H846" s="302">
        <f t="shared" si="311"/>
        <v>0.48288601381403257</v>
      </c>
      <c r="I846" s="303"/>
      <c r="J846" s="302">
        <v>0.1527716373323908</v>
      </c>
      <c r="K846" s="302">
        <v>0.32543702025991988</v>
      </c>
      <c r="L846" s="302">
        <f t="shared" si="312"/>
        <v>0.47820865759231068</v>
      </c>
      <c r="M846" s="236"/>
      <c r="N846" s="236"/>
    </row>
    <row r="847" spans="1:14" x14ac:dyDescent="0.2">
      <c r="A847" s="237" t="str">
        <f>name!E$9</f>
        <v>Caring, leisure and other service occupations</v>
      </c>
      <c r="B847" s="302">
        <v>6.7491875662896272E-2</v>
      </c>
      <c r="C847" s="302">
        <v>0.13302567322478745</v>
      </c>
      <c r="D847" s="302">
        <f t="shared" si="310"/>
        <v>0.20051754888768372</v>
      </c>
      <c r="E847" s="303"/>
      <c r="F847" s="302">
        <v>9.4438953203544812E-2</v>
      </c>
      <c r="G847" s="302">
        <v>0.10571204752812093</v>
      </c>
      <c r="H847" s="302">
        <f t="shared" si="311"/>
        <v>0.20015100073166575</v>
      </c>
      <c r="I847" s="303"/>
      <c r="J847" s="302">
        <v>0.10991744391755515</v>
      </c>
      <c r="K847" s="302">
        <v>0.13919257820473854</v>
      </c>
      <c r="L847" s="302">
        <f t="shared" si="312"/>
        <v>0.24911002212229369</v>
      </c>
      <c r="M847" s="236"/>
      <c r="N847" s="236"/>
    </row>
    <row r="848" spans="1:14" x14ac:dyDescent="0.2">
      <c r="A848" s="237" t="str">
        <f>name!E$10</f>
        <v>Sales and customer service occupations</v>
      </c>
      <c r="B848" s="302">
        <v>1.165385564592847</v>
      </c>
      <c r="C848" s="302">
        <v>0.81135320622084739</v>
      </c>
      <c r="D848" s="302">
        <f t="shared" si="310"/>
        <v>1.9767387708136943</v>
      </c>
      <c r="E848" s="303"/>
      <c r="F848" s="302">
        <v>1.1384223993642915</v>
      </c>
      <c r="G848" s="302">
        <v>0.64729318357884402</v>
      </c>
      <c r="H848" s="302">
        <f t="shared" si="311"/>
        <v>1.7857155829431355</v>
      </c>
      <c r="I848" s="303"/>
      <c r="J848" s="302">
        <v>1.1660036584299309</v>
      </c>
      <c r="K848" s="302">
        <v>0.76488000486212804</v>
      </c>
      <c r="L848" s="302">
        <f t="shared" si="312"/>
        <v>1.930883663292059</v>
      </c>
      <c r="M848" s="236"/>
      <c r="N848" s="236"/>
    </row>
    <row r="849" spans="1:14" x14ac:dyDescent="0.2">
      <c r="A849" s="237" t="str">
        <f>name!E$11</f>
        <v>Process, plant and machine operatives</v>
      </c>
      <c r="B849" s="302">
        <v>0.11709049006184301</v>
      </c>
      <c r="C849" s="302">
        <v>0.31404006210104762</v>
      </c>
      <c r="D849" s="302">
        <f t="shared" si="310"/>
        <v>0.43113055216289065</v>
      </c>
      <c r="E849" s="303"/>
      <c r="F849" s="302">
        <v>8.7673143102065032E-2</v>
      </c>
      <c r="G849" s="302">
        <v>0.20799459672359047</v>
      </c>
      <c r="H849" s="302">
        <f t="shared" si="311"/>
        <v>0.29566773982565553</v>
      </c>
      <c r="I849" s="303"/>
      <c r="J849" s="302">
        <v>0.16698270924170786</v>
      </c>
      <c r="K849" s="302">
        <v>0.26830993317495566</v>
      </c>
      <c r="L849" s="302">
        <f t="shared" si="312"/>
        <v>0.43529264241666354</v>
      </c>
      <c r="M849" s="236"/>
      <c r="N849" s="236"/>
    </row>
    <row r="850" spans="1:14" x14ac:dyDescent="0.2">
      <c r="A850" s="237" t="str">
        <f>name!E$12</f>
        <v>Elementary occupations</v>
      </c>
      <c r="B850" s="302">
        <v>0.44881576947819107</v>
      </c>
      <c r="C850" s="302">
        <v>0.4928997265428724</v>
      </c>
      <c r="D850" s="302">
        <f t="shared" si="310"/>
        <v>0.94171549602106341</v>
      </c>
      <c r="E850" s="303"/>
      <c r="F850" s="302">
        <v>0.3365264251622973</v>
      </c>
      <c r="G850" s="302">
        <v>0.31309160749321341</v>
      </c>
      <c r="H850" s="302">
        <f t="shared" si="311"/>
        <v>0.64961803265551077</v>
      </c>
      <c r="I850" s="303"/>
      <c r="J850" s="302">
        <v>0.32436120445266942</v>
      </c>
      <c r="K850" s="302">
        <v>0.30492218972624752</v>
      </c>
      <c r="L850" s="302">
        <f t="shared" si="312"/>
        <v>0.62928339417891688</v>
      </c>
      <c r="M850" s="236"/>
      <c r="N850" s="236"/>
    </row>
    <row r="851" spans="1:14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2">
      <c r="A852" s="244" t="s">
        <v>32</v>
      </c>
      <c r="B852" s="311">
        <f>SUM(B842:B850)</f>
        <v>17.360999999919041</v>
      </c>
      <c r="C852" s="311">
        <f t="shared" ref="C852:D852" si="313">SUM(C842:C850)</f>
        <v>18.929999999865331</v>
      </c>
      <c r="D852" s="311">
        <f t="shared" si="313"/>
        <v>36.290999999784376</v>
      </c>
      <c r="E852" s="311"/>
      <c r="F852" s="311">
        <f t="shared" ref="F852:H852" si="314">SUM(F842:F850)</f>
        <v>18.2259999998134</v>
      </c>
      <c r="G852" s="311">
        <f t="shared" si="314"/>
        <v>17.727999999700391</v>
      </c>
      <c r="H852" s="311">
        <f t="shared" si="314"/>
        <v>35.953999999513776</v>
      </c>
      <c r="I852" s="311"/>
      <c r="J852" s="311">
        <f t="shared" ref="J852:L852" si="315">SUM(J842:J850)</f>
        <v>17.391000000139044</v>
      </c>
      <c r="K852" s="311">
        <f t="shared" si="315"/>
        <v>17.294999999695793</v>
      </c>
      <c r="L852" s="311">
        <f t="shared" si="315"/>
        <v>34.685999999834848</v>
      </c>
      <c r="M852" s="236"/>
      <c r="N852" s="236"/>
    </row>
    <row r="853" spans="1:14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2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2">
      <c r="A856" s="241" t="str">
        <f>name!A53</f>
        <v>Real estate</v>
      </c>
      <c r="B856" s="372">
        <f>B$6</f>
        <v>2015</v>
      </c>
      <c r="C856" s="372"/>
      <c r="D856" s="372"/>
      <c r="E856" s="253"/>
      <c r="F856" s="372">
        <f>F$6</f>
        <v>2020</v>
      </c>
      <c r="G856" s="372"/>
      <c r="H856" s="372"/>
      <c r="I856" s="253"/>
      <c r="J856" s="372">
        <f>J$6</f>
        <v>2035</v>
      </c>
      <c r="K856" s="372"/>
      <c r="L856" s="372"/>
      <c r="M856" s="236"/>
      <c r="N856" s="236"/>
    </row>
    <row r="857" spans="1:14" x14ac:dyDescent="0.2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2">
      <c r="A859" s="237" t="str">
        <f>name!E$4</f>
        <v>Managers, directors and senior officials</v>
      </c>
      <c r="B859" s="302">
        <v>4.1231680660369241</v>
      </c>
      <c r="C859" s="302">
        <v>6.3256699747192302</v>
      </c>
      <c r="D859" s="302">
        <f>SUM(B859:C859)</f>
        <v>10.448838040756154</v>
      </c>
      <c r="E859" s="303"/>
      <c r="F859" s="302">
        <v>5.1797693490804306</v>
      </c>
      <c r="G859" s="302">
        <v>7.5908798795337846</v>
      </c>
      <c r="H859" s="302">
        <f>SUM(F859:G859)</f>
        <v>12.770649228614214</v>
      </c>
      <c r="I859" s="303"/>
      <c r="J859" s="302">
        <v>5.5023409561486094</v>
      </c>
      <c r="K859" s="302">
        <v>7.4478399469656837</v>
      </c>
      <c r="L859" s="302">
        <f>SUM(J859:K859)</f>
        <v>12.950180903114294</v>
      </c>
      <c r="M859" s="236"/>
      <c r="N859" s="236"/>
    </row>
    <row r="860" spans="1:14" x14ac:dyDescent="0.2">
      <c r="A860" s="237" t="str">
        <f>name!E$5</f>
        <v>Professional occupations</v>
      </c>
      <c r="B860" s="302">
        <v>3.4799716788688437</v>
      </c>
      <c r="C860" s="302">
        <v>3.4722307535175085</v>
      </c>
      <c r="D860" s="302">
        <f t="shared" ref="D860:D867" si="316">SUM(B860:C860)</f>
        <v>6.9522024323863523</v>
      </c>
      <c r="E860" s="303"/>
      <c r="F860" s="302">
        <v>5.6663613575142335</v>
      </c>
      <c r="G860" s="302">
        <v>5.2531963704732041</v>
      </c>
      <c r="H860" s="302">
        <f t="shared" ref="H860:H867" si="317">SUM(F860:G860)</f>
        <v>10.919557727987439</v>
      </c>
      <c r="I860" s="303"/>
      <c r="J860" s="302">
        <v>5.7558000273571706</v>
      </c>
      <c r="K860" s="302">
        <v>4.8718992558381276</v>
      </c>
      <c r="L860" s="302">
        <f t="shared" ref="L860:L867" si="318">SUM(J860:K860)</f>
        <v>10.627699283195298</v>
      </c>
      <c r="M860" s="236"/>
      <c r="N860" s="236"/>
    </row>
    <row r="861" spans="1:14" x14ac:dyDescent="0.2">
      <c r="A861" s="237" t="str">
        <f>name!E$6</f>
        <v>Associate professional occupations</v>
      </c>
      <c r="B861" s="302">
        <v>3.6451885972525551</v>
      </c>
      <c r="C861" s="302">
        <v>3.2270921751764181</v>
      </c>
      <c r="D861" s="302">
        <f t="shared" si="316"/>
        <v>6.8722807724289732</v>
      </c>
      <c r="E861" s="303"/>
      <c r="F861" s="302">
        <v>5.3168612221640652</v>
      </c>
      <c r="G861" s="302">
        <v>4.0937966774914143</v>
      </c>
      <c r="H861" s="302">
        <f t="shared" si="317"/>
        <v>9.4106578996554795</v>
      </c>
      <c r="I861" s="303"/>
      <c r="J861" s="302">
        <v>5.1376537582225268</v>
      </c>
      <c r="K861" s="302">
        <v>3.0822582886245642</v>
      </c>
      <c r="L861" s="302">
        <f t="shared" si="318"/>
        <v>8.2199120468470905</v>
      </c>
      <c r="M861" s="236"/>
      <c r="N861" s="236"/>
    </row>
    <row r="862" spans="1:14" x14ac:dyDescent="0.2">
      <c r="A862" s="237" t="str">
        <f>name!E$7</f>
        <v>Administrative and secretarial occupations</v>
      </c>
      <c r="B862" s="302">
        <v>9.6315189705159536</v>
      </c>
      <c r="C862" s="302">
        <v>0.83880178735916111</v>
      </c>
      <c r="D862" s="302">
        <f t="shared" si="316"/>
        <v>10.470320757875115</v>
      </c>
      <c r="E862" s="303"/>
      <c r="F862" s="302">
        <v>8.8702998870116367</v>
      </c>
      <c r="G862" s="302">
        <v>0.98454622294916128</v>
      </c>
      <c r="H862" s="302">
        <f t="shared" si="317"/>
        <v>9.854846109960798</v>
      </c>
      <c r="I862" s="303"/>
      <c r="J862" s="302">
        <v>5.8263794997100398</v>
      </c>
      <c r="K862" s="302">
        <v>0.8087778625983516</v>
      </c>
      <c r="L862" s="302">
        <f t="shared" si="318"/>
        <v>6.6351573623083917</v>
      </c>
      <c r="M862" s="236"/>
      <c r="N862" s="236"/>
    </row>
    <row r="863" spans="1:14" x14ac:dyDescent="0.2">
      <c r="A863" s="237" t="str">
        <f>name!E$8</f>
        <v>Skilled trades occupations</v>
      </c>
      <c r="B863" s="302">
        <v>0.94839896600904328</v>
      </c>
      <c r="C863" s="302">
        <v>4.448046625363574</v>
      </c>
      <c r="D863" s="302">
        <f t="shared" si="316"/>
        <v>5.3964455913726175</v>
      </c>
      <c r="E863" s="303"/>
      <c r="F863" s="302">
        <v>0.87573869554517081</v>
      </c>
      <c r="G863" s="302">
        <v>3.426993064045321</v>
      </c>
      <c r="H863" s="302">
        <f t="shared" si="317"/>
        <v>4.3027317595904915</v>
      </c>
      <c r="I863" s="303"/>
      <c r="J863" s="302">
        <v>1.3559813808233458</v>
      </c>
      <c r="K863" s="302">
        <v>3.137579691964842</v>
      </c>
      <c r="L863" s="302">
        <f t="shared" si="318"/>
        <v>4.4935610727881876</v>
      </c>
      <c r="M863" s="236"/>
      <c r="N863" s="236"/>
    </row>
    <row r="864" spans="1:14" x14ac:dyDescent="0.2">
      <c r="A864" s="237" t="str">
        <f>name!E$9</f>
        <v>Caring, leisure and other service occupations</v>
      </c>
      <c r="B864" s="302">
        <v>1.2848874696712991</v>
      </c>
      <c r="C864" s="302">
        <v>0.87655293144704849</v>
      </c>
      <c r="D864" s="302">
        <f t="shared" si="316"/>
        <v>2.1614404011183477</v>
      </c>
      <c r="E864" s="303"/>
      <c r="F864" s="302">
        <v>1.4123005193533082</v>
      </c>
      <c r="G864" s="302">
        <v>0.90749672204969112</v>
      </c>
      <c r="H864" s="302">
        <f t="shared" si="317"/>
        <v>2.3197972414029993</v>
      </c>
      <c r="I864" s="303"/>
      <c r="J864" s="302">
        <v>1.5064227211799639</v>
      </c>
      <c r="K864" s="302">
        <v>0.91339571557923882</v>
      </c>
      <c r="L864" s="302">
        <f t="shared" si="318"/>
        <v>2.4198184367592028</v>
      </c>
      <c r="M864" s="236"/>
      <c r="N864" s="236"/>
    </row>
    <row r="865" spans="1:14" x14ac:dyDescent="0.2">
      <c r="A865" s="237" t="str">
        <f>name!E$10</f>
        <v>Sales and customer service occupations</v>
      </c>
      <c r="B865" s="302">
        <v>3.9287732499271932</v>
      </c>
      <c r="C865" s="302">
        <v>1.8276840096635041</v>
      </c>
      <c r="D865" s="302">
        <f t="shared" si="316"/>
        <v>5.7564572595906975</v>
      </c>
      <c r="E865" s="303"/>
      <c r="F865" s="302">
        <v>3.8169657224017808</v>
      </c>
      <c r="G865" s="302">
        <v>1.5310683988605391</v>
      </c>
      <c r="H865" s="302">
        <f t="shared" si="317"/>
        <v>5.3480341212623195</v>
      </c>
      <c r="I865" s="303"/>
      <c r="J865" s="302">
        <v>3.2778745297772756</v>
      </c>
      <c r="K865" s="302">
        <v>1.2141092655048271</v>
      </c>
      <c r="L865" s="302">
        <f t="shared" si="318"/>
        <v>4.4919837952821027</v>
      </c>
      <c r="M865" s="236"/>
      <c r="N865" s="236"/>
    </row>
    <row r="866" spans="1:14" x14ac:dyDescent="0.2">
      <c r="A866" s="237" t="str">
        <f>name!E$11</f>
        <v>Process, plant and machine operatives</v>
      </c>
      <c r="B866" s="302">
        <v>0.13426821846259915</v>
      </c>
      <c r="C866" s="302">
        <v>0.76000651024171295</v>
      </c>
      <c r="D866" s="302">
        <f t="shared" si="316"/>
        <v>0.89427472870431213</v>
      </c>
      <c r="E866" s="303"/>
      <c r="F866" s="302">
        <v>0.12995226262764828</v>
      </c>
      <c r="G866" s="302">
        <v>0.77647302552768638</v>
      </c>
      <c r="H866" s="302">
        <f t="shared" si="317"/>
        <v>0.90642528815533463</v>
      </c>
      <c r="I866" s="303"/>
      <c r="J866" s="302">
        <v>0.22512009304312908</v>
      </c>
      <c r="K866" s="302">
        <v>0.62743580396371934</v>
      </c>
      <c r="L866" s="302">
        <f t="shared" si="318"/>
        <v>0.85255589700684842</v>
      </c>
      <c r="M866" s="236"/>
      <c r="N866" s="236"/>
    </row>
    <row r="867" spans="1:14" x14ac:dyDescent="0.2">
      <c r="A867" s="237" t="str">
        <f>name!E$12</f>
        <v>Elementary occupations</v>
      </c>
      <c r="B867" s="302">
        <v>1.2798247832621217</v>
      </c>
      <c r="C867" s="302">
        <v>0.97891523238692346</v>
      </c>
      <c r="D867" s="302">
        <f t="shared" si="316"/>
        <v>2.2587400156490451</v>
      </c>
      <c r="E867" s="303"/>
      <c r="F867" s="302">
        <v>0.91775098417759859</v>
      </c>
      <c r="G867" s="302">
        <v>0.87354963888865245</v>
      </c>
      <c r="H867" s="302">
        <f t="shared" si="317"/>
        <v>1.7913006230662512</v>
      </c>
      <c r="I867" s="303"/>
      <c r="J867" s="302">
        <v>0.77942703366689858</v>
      </c>
      <c r="K867" s="302">
        <v>0.65270416883269256</v>
      </c>
      <c r="L867" s="302">
        <f t="shared" si="318"/>
        <v>1.4321312024995911</v>
      </c>
      <c r="M867" s="236"/>
      <c r="N867" s="236"/>
    </row>
    <row r="868" spans="1:14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2">
      <c r="A869" s="244" t="s">
        <v>32</v>
      </c>
      <c r="B869" s="311">
        <f>SUM(B859:B867)</f>
        <v>28.456000000006537</v>
      </c>
      <c r="C869" s="311">
        <f t="shared" ref="C869:D869" si="319">SUM(C859:C867)</f>
        <v>22.754999999875078</v>
      </c>
      <c r="D869" s="311">
        <f t="shared" si="319"/>
        <v>51.210999999881615</v>
      </c>
      <c r="E869" s="311"/>
      <c r="F869" s="311">
        <f t="shared" ref="F869:H869" si="320">SUM(F859:F867)</f>
        <v>32.185999999875875</v>
      </c>
      <c r="G869" s="311">
        <f t="shared" si="320"/>
        <v>25.437999999819453</v>
      </c>
      <c r="H869" s="311">
        <f t="shared" si="320"/>
        <v>57.623999999695329</v>
      </c>
      <c r="I869" s="311"/>
      <c r="J869" s="311">
        <f t="shared" ref="J869:L869" si="321">SUM(J859:J867)</f>
        <v>29.366999999928954</v>
      </c>
      <c r="K869" s="311">
        <f t="shared" si="321"/>
        <v>22.755999999872046</v>
      </c>
      <c r="L869" s="311">
        <f t="shared" si="321"/>
        <v>52.12299999980101</v>
      </c>
      <c r="M869" s="236"/>
      <c r="N869" s="236"/>
    </row>
    <row r="870" spans="1:14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2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2">
      <c r="A873" s="241" t="str">
        <f>name!A54</f>
        <v>Legal and accounting</v>
      </c>
      <c r="B873" s="372">
        <f>B$6</f>
        <v>2015</v>
      </c>
      <c r="C873" s="372"/>
      <c r="D873" s="372"/>
      <c r="E873" s="253"/>
      <c r="F873" s="372">
        <f>F$6</f>
        <v>2020</v>
      </c>
      <c r="G873" s="372"/>
      <c r="H873" s="372"/>
      <c r="I873" s="253"/>
      <c r="J873" s="372">
        <f>J$6</f>
        <v>2035</v>
      </c>
      <c r="K873" s="372"/>
      <c r="L873" s="372"/>
      <c r="M873" s="236"/>
      <c r="N873" s="236"/>
    </row>
    <row r="874" spans="1:14" x14ac:dyDescent="0.2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2">
      <c r="A876" s="237" t="str">
        <f>name!E$4</f>
        <v>Managers, directors and senior officials</v>
      </c>
      <c r="B876" s="302">
        <v>3.6608108153676739</v>
      </c>
      <c r="C876" s="302">
        <v>4.5190721340339257</v>
      </c>
      <c r="D876" s="302">
        <f>SUM(B876:C876)</f>
        <v>8.1798829494016001</v>
      </c>
      <c r="E876" s="303"/>
      <c r="F876" s="302">
        <v>6.0616929769025676</v>
      </c>
      <c r="G876" s="302">
        <v>4.8516794328789308</v>
      </c>
      <c r="H876" s="302">
        <f>SUM(F876:G876)</f>
        <v>10.913372409781498</v>
      </c>
      <c r="I876" s="303"/>
      <c r="J876" s="302">
        <v>7.0754736596969021</v>
      </c>
      <c r="K876" s="302">
        <v>5.5865659948771818</v>
      </c>
      <c r="L876" s="302">
        <f>SUM(J876:K876)</f>
        <v>12.662039654574084</v>
      </c>
      <c r="M876" s="236"/>
      <c r="N876" s="236"/>
    </row>
    <row r="877" spans="1:14" x14ac:dyDescent="0.2">
      <c r="A877" s="237" t="str">
        <f>name!E$5</f>
        <v>Professional occupations</v>
      </c>
      <c r="B877" s="302">
        <v>8.6071651690916031</v>
      </c>
      <c r="C877" s="302">
        <v>11.571408803287728</v>
      </c>
      <c r="D877" s="302">
        <f t="shared" ref="D877:D884" si="322">SUM(B877:C877)</f>
        <v>20.178573972379333</v>
      </c>
      <c r="E877" s="303"/>
      <c r="F877" s="302">
        <v>14.861856421471817</v>
      </c>
      <c r="G877" s="302">
        <v>12.406240254806312</v>
      </c>
      <c r="H877" s="302">
        <f t="shared" ref="H877:H884" si="323">SUM(F877:G877)</f>
        <v>27.268096676278127</v>
      </c>
      <c r="I877" s="303"/>
      <c r="J877" s="302">
        <v>18.038058625477877</v>
      </c>
      <c r="K877" s="302">
        <v>14.256651385223348</v>
      </c>
      <c r="L877" s="302">
        <f t="shared" ref="L877:L884" si="324">SUM(J877:K877)</f>
        <v>32.294710010701223</v>
      </c>
      <c r="M877" s="236"/>
      <c r="N877" s="236"/>
    </row>
    <row r="878" spans="1:14" x14ac:dyDescent="0.2">
      <c r="A878" s="237" t="str">
        <f>name!E$6</f>
        <v>Associate professional occupations</v>
      </c>
      <c r="B878" s="302">
        <v>6.5475602043557037</v>
      </c>
      <c r="C878" s="302">
        <v>5.0628887609666338</v>
      </c>
      <c r="D878" s="302">
        <f t="shared" si="322"/>
        <v>11.610448965322338</v>
      </c>
      <c r="E878" s="303"/>
      <c r="F878" s="302">
        <v>9.6688885602357111</v>
      </c>
      <c r="G878" s="302">
        <v>5.4801215206569678</v>
      </c>
      <c r="H878" s="302">
        <f t="shared" si="323"/>
        <v>15.14901008089268</v>
      </c>
      <c r="I878" s="303"/>
      <c r="J878" s="302">
        <v>10.901646498645851</v>
      </c>
      <c r="K878" s="302">
        <v>5.3125617872064428</v>
      </c>
      <c r="L878" s="302">
        <f t="shared" si="324"/>
        <v>16.214208285852294</v>
      </c>
      <c r="M878" s="236"/>
      <c r="N878" s="236"/>
    </row>
    <row r="879" spans="1:14" x14ac:dyDescent="0.2">
      <c r="A879" s="237" t="str">
        <f>name!E$7</f>
        <v>Administrative and secretarial occupations</v>
      </c>
      <c r="B879" s="302">
        <v>11.924497695040104</v>
      </c>
      <c r="C879" s="302">
        <v>1.5817378360243015</v>
      </c>
      <c r="D879" s="302">
        <f t="shared" si="322"/>
        <v>13.506235531064405</v>
      </c>
      <c r="E879" s="303"/>
      <c r="F879" s="302">
        <v>14.771613482309899</v>
      </c>
      <c r="G879" s="302">
        <v>1.6738238242606094</v>
      </c>
      <c r="H879" s="302">
        <f t="shared" si="323"/>
        <v>16.445437306570508</v>
      </c>
      <c r="I879" s="303"/>
      <c r="J879" s="302">
        <v>11.255848212728921</v>
      </c>
      <c r="K879" s="302">
        <v>1.464146251349961</v>
      </c>
      <c r="L879" s="302">
        <f t="shared" si="324"/>
        <v>12.719994464078882</v>
      </c>
      <c r="M879" s="236"/>
      <c r="N879" s="236"/>
    </row>
    <row r="880" spans="1:14" x14ac:dyDescent="0.2">
      <c r="A880" s="237" t="str">
        <f>name!E$8</f>
        <v>Skilled trades occupations</v>
      </c>
      <c r="B880" s="302">
        <v>0.28659423661887878</v>
      </c>
      <c r="C880" s="302">
        <v>1.570842939107532</v>
      </c>
      <c r="D880" s="302">
        <f t="shared" si="322"/>
        <v>1.8574371757264108</v>
      </c>
      <c r="E880" s="303"/>
      <c r="F880" s="302">
        <v>0.42103736959850585</v>
      </c>
      <c r="G880" s="302">
        <v>1.097271308562153</v>
      </c>
      <c r="H880" s="302">
        <f t="shared" si="323"/>
        <v>1.518308678160659</v>
      </c>
      <c r="I880" s="303"/>
      <c r="J880" s="302">
        <v>0.85804186703685859</v>
      </c>
      <c r="K880" s="302">
        <v>1.1107319520485792</v>
      </c>
      <c r="L880" s="302">
        <f t="shared" si="324"/>
        <v>1.9687738190854378</v>
      </c>
      <c r="M880" s="236"/>
      <c r="N880" s="236"/>
    </row>
    <row r="881" spans="1:14" x14ac:dyDescent="0.2">
      <c r="A881" s="237" t="str">
        <f>name!E$9</f>
        <v>Caring, leisure and other service occupations</v>
      </c>
      <c r="B881" s="302">
        <v>0.22198477048662643</v>
      </c>
      <c r="C881" s="302">
        <v>0.19441377913914212</v>
      </c>
      <c r="D881" s="302">
        <f t="shared" si="322"/>
        <v>0.41639854962576855</v>
      </c>
      <c r="E881" s="303"/>
      <c r="F881" s="302">
        <v>0.28112487916619106</v>
      </c>
      <c r="G881" s="302">
        <v>0.17429574906321507</v>
      </c>
      <c r="H881" s="302">
        <f t="shared" si="323"/>
        <v>0.4554206282294061</v>
      </c>
      <c r="I881" s="303"/>
      <c r="J881" s="302">
        <v>0.37355392896741679</v>
      </c>
      <c r="K881" s="302">
        <v>0.29273657843318091</v>
      </c>
      <c r="L881" s="302">
        <f t="shared" si="324"/>
        <v>0.6662905074005977</v>
      </c>
      <c r="M881" s="236"/>
      <c r="N881" s="236"/>
    </row>
    <row r="882" spans="1:14" x14ac:dyDescent="0.2">
      <c r="A882" s="237" t="str">
        <f>name!E$10</f>
        <v>Sales and customer service occupations</v>
      </c>
      <c r="B882" s="302">
        <v>1.8768652614259762</v>
      </c>
      <c r="C882" s="302">
        <v>0.73012562249390534</v>
      </c>
      <c r="D882" s="302">
        <f t="shared" si="322"/>
        <v>2.6069908839198814</v>
      </c>
      <c r="E882" s="303"/>
      <c r="F882" s="302">
        <v>2.1862607720522784</v>
      </c>
      <c r="G882" s="302">
        <v>0.71272078641098502</v>
      </c>
      <c r="H882" s="302">
        <f t="shared" si="323"/>
        <v>2.8989815584632632</v>
      </c>
      <c r="I882" s="303"/>
      <c r="J882" s="302">
        <v>2.166104684296756</v>
      </c>
      <c r="K882" s="302">
        <v>0.94326629480848412</v>
      </c>
      <c r="L882" s="302">
        <f t="shared" si="324"/>
        <v>3.1093709791052402</v>
      </c>
      <c r="M882" s="236"/>
      <c r="N882" s="236"/>
    </row>
    <row r="883" spans="1:14" x14ac:dyDescent="0.2">
      <c r="A883" s="237" t="str">
        <f>name!E$11</f>
        <v>Process, plant and machine operatives</v>
      </c>
      <c r="B883" s="302">
        <v>0.26131400871475535</v>
      </c>
      <c r="C883" s="302">
        <v>0.66247924912467693</v>
      </c>
      <c r="D883" s="302">
        <f t="shared" si="322"/>
        <v>0.92379325783943234</v>
      </c>
      <c r="E883" s="303"/>
      <c r="F883" s="302">
        <v>0.30797296873427116</v>
      </c>
      <c r="G883" s="302">
        <v>0.55670982715670092</v>
      </c>
      <c r="H883" s="302">
        <f t="shared" si="323"/>
        <v>0.86468279589097208</v>
      </c>
      <c r="I883" s="303"/>
      <c r="J883" s="302">
        <v>0.52337898329213339</v>
      </c>
      <c r="K883" s="302">
        <v>0.70369246309537625</v>
      </c>
      <c r="L883" s="302">
        <f t="shared" si="324"/>
        <v>1.2270714463875096</v>
      </c>
      <c r="M883" s="236"/>
      <c r="N883" s="236"/>
    </row>
    <row r="884" spans="1:14" x14ac:dyDescent="0.2">
      <c r="A884" s="237" t="str">
        <f>name!E$12</f>
        <v>Elementary occupations</v>
      </c>
      <c r="B884" s="302">
        <v>0.96320783915687058</v>
      </c>
      <c r="C884" s="302">
        <v>0.56503087566901744</v>
      </c>
      <c r="D884" s="302">
        <f t="shared" si="322"/>
        <v>1.528238714825888</v>
      </c>
      <c r="E884" s="303"/>
      <c r="F884" s="302">
        <v>1.008552568588333</v>
      </c>
      <c r="G884" s="302">
        <v>0.48913729566947689</v>
      </c>
      <c r="H884" s="302">
        <f t="shared" si="323"/>
        <v>1.4976898642578098</v>
      </c>
      <c r="I884" s="303"/>
      <c r="J884" s="302">
        <v>1.0128935405070127</v>
      </c>
      <c r="K884" s="302">
        <v>0.52564729248397657</v>
      </c>
      <c r="L884" s="302">
        <f t="shared" si="324"/>
        <v>1.5385408329909893</v>
      </c>
      <c r="M884" s="236"/>
      <c r="N884" s="236"/>
    </row>
    <row r="885" spans="1:14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2">
      <c r="A886" s="244" t="s">
        <v>32</v>
      </c>
      <c r="B886" s="311">
        <f>SUM(B876:B884)</f>
        <v>34.350000000258191</v>
      </c>
      <c r="C886" s="311">
        <f t="shared" ref="C886:D886" si="325">SUM(C876:C884)</f>
        <v>26.457999999846862</v>
      </c>
      <c r="D886" s="311">
        <f t="shared" si="325"/>
        <v>60.808000000105068</v>
      </c>
      <c r="E886" s="311"/>
      <c r="F886" s="311">
        <f t="shared" ref="F886:H886" si="326">SUM(F876:F884)</f>
        <v>49.568999999059578</v>
      </c>
      <c r="G886" s="311">
        <f t="shared" si="326"/>
        <v>27.441999999465349</v>
      </c>
      <c r="H886" s="311">
        <f t="shared" si="326"/>
        <v>77.010999998524923</v>
      </c>
      <c r="I886" s="311"/>
      <c r="J886" s="311">
        <f t="shared" ref="J886:L886" si="327">SUM(J876:J884)</f>
        <v>52.205000000649733</v>
      </c>
      <c r="K886" s="311">
        <f t="shared" si="327"/>
        <v>30.195999999526535</v>
      </c>
      <c r="L886" s="311">
        <f t="shared" si="327"/>
        <v>82.401000000176268</v>
      </c>
      <c r="M886" s="236"/>
      <c r="N886" s="236"/>
    </row>
    <row r="887" spans="1:14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2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2">
      <c r="A890" s="241" t="str">
        <f>name!A55</f>
        <v>Head offices, etc</v>
      </c>
      <c r="B890" s="372">
        <f>B$6</f>
        <v>2015</v>
      </c>
      <c r="C890" s="372"/>
      <c r="D890" s="372"/>
      <c r="E890" s="253"/>
      <c r="F890" s="372">
        <f>F$6</f>
        <v>2020</v>
      </c>
      <c r="G890" s="372"/>
      <c r="H890" s="372"/>
      <c r="I890" s="253"/>
      <c r="J890" s="372">
        <f>J$6</f>
        <v>2035</v>
      </c>
      <c r="K890" s="372"/>
      <c r="L890" s="372"/>
      <c r="M890" s="236"/>
      <c r="N890" s="236"/>
    </row>
    <row r="891" spans="1:14" x14ac:dyDescent="0.2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2">
      <c r="A893" s="237" t="str">
        <f>name!E$4</f>
        <v>Managers, directors and senior officials</v>
      </c>
      <c r="B893" s="302">
        <v>2.2358636952582183</v>
      </c>
      <c r="C893" s="302">
        <v>5.2929819567180347</v>
      </c>
      <c r="D893" s="302">
        <f>SUM(B893:C893)</f>
        <v>7.528845651976253</v>
      </c>
      <c r="E893" s="303"/>
      <c r="F893" s="302">
        <v>3.7449470317940996</v>
      </c>
      <c r="G893" s="302">
        <v>6.2501856189885734</v>
      </c>
      <c r="H893" s="302">
        <f>SUM(F893:G893)</f>
        <v>9.9951326507826721</v>
      </c>
      <c r="I893" s="303"/>
      <c r="J893" s="302">
        <v>4.4673885264163085</v>
      </c>
      <c r="K893" s="302">
        <v>6.4795303767121686</v>
      </c>
      <c r="L893" s="302">
        <f>SUM(J893:K893)</f>
        <v>10.946918903128477</v>
      </c>
      <c r="M893" s="236"/>
      <c r="N893" s="236"/>
    </row>
    <row r="894" spans="1:14" x14ac:dyDescent="0.2">
      <c r="A894" s="237" t="str">
        <f>name!E$5</f>
        <v>Professional occupations</v>
      </c>
      <c r="B894" s="302">
        <v>5.1504240243352521</v>
      </c>
      <c r="C894" s="302">
        <v>13.282180278589028</v>
      </c>
      <c r="D894" s="302">
        <f t="shared" ref="D894:D901" si="328">SUM(B894:C894)</f>
        <v>18.432604302924279</v>
      </c>
      <c r="E894" s="303"/>
      <c r="F894" s="302">
        <v>8.7633355791065313</v>
      </c>
      <c r="G894" s="302">
        <v>16.259073001435407</v>
      </c>
      <c r="H894" s="302">
        <f t="shared" ref="H894:H901" si="329">SUM(F894:G894)</f>
        <v>25.022408580541939</v>
      </c>
      <c r="I894" s="303"/>
      <c r="J894" s="302">
        <v>10.728314540677609</v>
      </c>
      <c r="K894" s="302">
        <v>17.386743271967532</v>
      </c>
      <c r="L894" s="302">
        <f t="shared" ref="L894:L901" si="330">SUM(J894:K894)</f>
        <v>28.115057812645141</v>
      </c>
      <c r="M894" s="236"/>
      <c r="N894" s="236"/>
    </row>
    <row r="895" spans="1:14" x14ac:dyDescent="0.2">
      <c r="A895" s="237" t="str">
        <f>name!E$6</f>
        <v>Associate professional occupations</v>
      </c>
      <c r="B895" s="302">
        <v>3.9834159363049597</v>
      </c>
      <c r="C895" s="302">
        <v>5.9070474924057379</v>
      </c>
      <c r="D895" s="302">
        <f t="shared" si="328"/>
        <v>9.8904634287106976</v>
      </c>
      <c r="E895" s="303"/>
      <c r="F895" s="302">
        <v>5.7434162498589014</v>
      </c>
      <c r="G895" s="302">
        <v>7.1211331973863485</v>
      </c>
      <c r="H895" s="302">
        <f t="shared" si="329"/>
        <v>12.864549447245249</v>
      </c>
      <c r="I895" s="303"/>
      <c r="J895" s="302">
        <v>6.5468482518485027</v>
      </c>
      <c r="K895" s="302">
        <v>6.3280294421011254</v>
      </c>
      <c r="L895" s="302">
        <f t="shared" si="330"/>
        <v>12.874877693949628</v>
      </c>
      <c r="M895" s="236"/>
      <c r="N895" s="236"/>
    </row>
    <row r="896" spans="1:14" x14ac:dyDescent="0.2">
      <c r="A896" s="237" t="str">
        <f>name!E$7</f>
        <v>Administrative and secretarial occupations</v>
      </c>
      <c r="B896" s="302">
        <v>8.3260238237246629</v>
      </c>
      <c r="C896" s="302">
        <v>1.8136341492903718</v>
      </c>
      <c r="D896" s="302">
        <f t="shared" si="328"/>
        <v>10.139657973015035</v>
      </c>
      <c r="E896" s="303"/>
      <c r="F896" s="302">
        <v>9.9087557602633218</v>
      </c>
      <c r="G896" s="302">
        <v>2.0755721506022629</v>
      </c>
      <c r="H896" s="302">
        <f t="shared" si="329"/>
        <v>11.984327910865584</v>
      </c>
      <c r="I896" s="303"/>
      <c r="J896" s="302">
        <v>7.9144366378068494</v>
      </c>
      <c r="K896" s="302">
        <v>1.7247521805585611</v>
      </c>
      <c r="L896" s="302">
        <f t="shared" si="330"/>
        <v>9.63918881836541</v>
      </c>
      <c r="M896" s="236"/>
      <c r="N896" s="236"/>
    </row>
    <row r="897" spans="1:14" x14ac:dyDescent="0.2">
      <c r="A897" s="237" t="str">
        <f>name!E$8</f>
        <v>Skilled trades occupations</v>
      </c>
      <c r="B897" s="302">
        <v>0.17813680179881061</v>
      </c>
      <c r="C897" s="302">
        <v>1.8065414589480944</v>
      </c>
      <c r="D897" s="302">
        <f t="shared" si="328"/>
        <v>1.9846782607469049</v>
      </c>
      <c r="E897" s="303"/>
      <c r="F897" s="302">
        <v>0.24752714289087974</v>
      </c>
      <c r="G897" s="302">
        <v>1.4049543161970375</v>
      </c>
      <c r="H897" s="302">
        <f t="shared" si="329"/>
        <v>1.6524814590879173</v>
      </c>
      <c r="I897" s="303"/>
      <c r="J897" s="302">
        <v>0.50560970814423722</v>
      </c>
      <c r="K897" s="302">
        <v>1.2512906767191618</v>
      </c>
      <c r="L897" s="302">
        <f t="shared" si="330"/>
        <v>1.7569003848633991</v>
      </c>
      <c r="M897" s="236"/>
      <c r="N897" s="236"/>
    </row>
    <row r="898" spans="1:14" x14ac:dyDescent="0.2">
      <c r="A898" s="237" t="str">
        <f>name!E$9</f>
        <v>Caring, leisure and other service occupations</v>
      </c>
      <c r="B898" s="302">
        <v>0.13642802566248213</v>
      </c>
      <c r="C898" s="302">
        <v>0.19167409254325901</v>
      </c>
      <c r="D898" s="302">
        <f t="shared" si="328"/>
        <v>0.32810211820574114</v>
      </c>
      <c r="E898" s="303"/>
      <c r="F898" s="302">
        <v>0.16574151536917928</v>
      </c>
      <c r="G898" s="302">
        <v>0.18877955779378755</v>
      </c>
      <c r="H898" s="302">
        <f t="shared" si="329"/>
        <v>0.35452107316296683</v>
      </c>
      <c r="I898" s="303"/>
      <c r="J898" s="302">
        <v>0.20452362358807688</v>
      </c>
      <c r="K898" s="302">
        <v>0.29352722723861968</v>
      </c>
      <c r="L898" s="302">
        <f t="shared" si="330"/>
        <v>0.49805085082669653</v>
      </c>
      <c r="M898" s="236"/>
      <c r="N898" s="236"/>
    </row>
    <row r="899" spans="1:14" x14ac:dyDescent="0.2">
      <c r="A899" s="237" t="str">
        <f>name!E$10</f>
        <v>Sales and customer service occupations</v>
      </c>
      <c r="B899" s="302">
        <v>1.2375548066958522</v>
      </c>
      <c r="C899" s="302">
        <v>0.78568494934462552</v>
      </c>
      <c r="D899" s="302">
        <f t="shared" si="328"/>
        <v>2.0232397560404776</v>
      </c>
      <c r="E899" s="303"/>
      <c r="F899" s="302">
        <v>1.4166976456948832</v>
      </c>
      <c r="G899" s="302">
        <v>0.81771733994219853</v>
      </c>
      <c r="H899" s="302">
        <f t="shared" si="329"/>
        <v>2.2344149856370819</v>
      </c>
      <c r="I899" s="303"/>
      <c r="J899" s="302">
        <v>1.4596348393934788</v>
      </c>
      <c r="K899" s="302">
        <v>0.99611618800704382</v>
      </c>
      <c r="L899" s="302">
        <f t="shared" si="330"/>
        <v>2.4557510274005225</v>
      </c>
      <c r="M899" s="236"/>
      <c r="N899" s="236"/>
    </row>
    <row r="900" spans="1:14" x14ac:dyDescent="0.2">
      <c r="A900" s="237" t="str">
        <f>name!E$11</f>
        <v>Process, plant and machine operatives</v>
      </c>
      <c r="B900" s="302">
        <v>0.19246666107689689</v>
      </c>
      <c r="C900" s="302">
        <v>0.77657820013294854</v>
      </c>
      <c r="D900" s="302">
        <f t="shared" si="328"/>
        <v>0.96904486120984545</v>
      </c>
      <c r="E900" s="303"/>
      <c r="F900" s="302">
        <v>0.20871406801220327</v>
      </c>
      <c r="G900" s="302">
        <v>0.68514847593916917</v>
      </c>
      <c r="H900" s="302">
        <f t="shared" si="329"/>
        <v>0.89386254395137243</v>
      </c>
      <c r="I900" s="303"/>
      <c r="J900" s="302">
        <v>0.3761298382274943</v>
      </c>
      <c r="K900" s="302">
        <v>0.77856887827214905</v>
      </c>
      <c r="L900" s="302">
        <f t="shared" si="330"/>
        <v>1.1546987164996434</v>
      </c>
      <c r="M900" s="236"/>
      <c r="N900" s="236"/>
    </row>
    <row r="901" spans="1:14" x14ac:dyDescent="0.2">
      <c r="A901" s="237" t="str">
        <f>name!E$12</f>
        <v>Elementary occupations</v>
      </c>
      <c r="B901" s="302">
        <v>0.66068622529379184</v>
      </c>
      <c r="C901" s="302">
        <v>0.64067742177332976</v>
      </c>
      <c r="D901" s="302">
        <f t="shared" si="328"/>
        <v>1.3013636470671215</v>
      </c>
      <c r="E901" s="303"/>
      <c r="F901" s="302">
        <v>0.66686500648917013</v>
      </c>
      <c r="G901" s="302">
        <v>0.58343634094146879</v>
      </c>
      <c r="H901" s="302">
        <f t="shared" si="329"/>
        <v>1.2503013474306388</v>
      </c>
      <c r="I901" s="303"/>
      <c r="J901" s="302">
        <v>0.65311403429069315</v>
      </c>
      <c r="K901" s="302">
        <v>0.56344175776104044</v>
      </c>
      <c r="L901" s="302">
        <f t="shared" si="330"/>
        <v>1.2165557920517336</v>
      </c>
      <c r="M901" s="236"/>
      <c r="N901" s="236"/>
    </row>
    <row r="902" spans="1:14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2">
      <c r="A903" s="244" t="s">
        <v>32</v>
      </c>
      <c r="B903" s="311">
        <f>SUM(B893:B901)</f>
        <v>22.101000000150925</v>
      </c>
      <c r="C903" s="311">
        <f t="shared" ref="C903:D903" si="331">SUM(C893:C901)</f>
        <v>30.496999999745427</v>
      </c>
      <c r="D903" s="311">
        <f t="shared" si="331"/>
        <v>52.597999999896345</v>
      </c>
      <c r="E903" s="311"/>
      <c r="F903" s="311">
        <f t="shared" ref="F903:H903" si="332">SUM(F893:F901)</f>
        <v>30.865999999479172</v>
      </c>
      <c r="G903" s="311">
        <f t="shared" si="332"/>
        <v>35.385999999226257</v>
      </c>
      <c r="H903" s="311">
        <f t="shared" si="332"/>
        <v>66.251999998705429</v>
      </c>
      <c r="I903" s="311"/>
      <c r="J903" s="311">
        <f t="shared" ref="J903:L903" si="333">SUM(J893:J901)</f>
        <v>32.856000000393252</v>
      </c>
      <c r="K903" s="311">
        <f t="shared" si="333"/>
        <v>35.801999999337404</v>
      </c>
      <c r="L903" s="311">
        <f t="shared" si="333"/>
        <v>68.657999999730649</v>
      </c>
      <c r="M903" s="236"/>
      <c r="N903" s="236"/>
    </row>
    <row r="904" spans="1:14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2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2">
      <c r="A907" s="241" t="str">
        <f>name!A56</f>
        <v>Architectural and related</v>
      </c>
      <c r="B907" s="372">
        <f>B$6</f>
        <v>2015</v>
      </c>
      <c r="C907" s="372"/>
      <c r="D907" s="372"/>
      <c r="E907" s="253"/>
      <c r="F907" s="372">
        <f>F$6</f>
        <v>2020</v>
      </c>
      <c r="G907" s="372"/>
      <c r="H907" s="372"/>
      <c r="I907" s="253"/>
      <c r="J907" s="372">
        <f>J$6</f>
        <v>2035</v>
      </c>
      <c r="K907" s="372"/>
      <c r="L907" s="372"/>
      <c r="M907" s="236"/>
      <c r="N907" s="236"/>
    </row>
    <row r="908" spans="1:14" x14ac:dyDescent="0.2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2">
      <c r="A910" s="237" t="str">
        <f>name!E$4</f>
        <v>Managers, directors and senior officials</v>
      </c>
      <c r="B910" s="302">
        <v>1.6786384951540816</v>
      </c>
      <c r="C910" s="302">
        <v>9.0150052201271986</v>
      </c>
      <c r="D910" s="302">
        <f>SUM(B910:C910)</f>
        <v>10.693643715281279</v>
      </c>
      <c r="E910" s="303"/>
      <c r="F910" s="302">
        <v>1.9086054502518033</v>
      </c>
      <c r="G910" s="302">
        <v>7.5070871653263138</v>
      </c>
      <c r="H910" s="302">
        <f>SUM(F910:G910)</f>
        <v>9.4156926155781164</v>
      </c>
      <c r="I910" s="303"/>
      <c r="J910" s="302">
        <v>2.3758662542767999</v>
      </c>
      <c r="K910" s="302">
        <v>7.7839115791289348</v>
      </c>
      <c r="L910" s="302">
        <f>SUM(J910:K910)</f>
        <v>10.159777833405734</v>
      </c>
      <c r="M910" s="236"/>
      <c r="N910" s="236"/>
    </row>
    <row r="911" spans="1:14" x14ac:dyDescent="0.2">
      <c r="A911" s="237" t="str">
        <f>name!E$5</f>
        <v>Professional occupations</v>
      </c>
      <c r="B911" s="302">
        <v>3.9198262977659568</v>
      </c>
      <c r="C911" s="302">
        <v>23.235147808122733</v>
      </c>
      <c r="D911" s="302">
        <f t="shared" ref="D911:D918" si="334">SUM(B911:C911)</f>
        <v>27.154974105888691</v>
      </c>
      <c r="E911" s="303"/>
      <c r="F911" s="302">
        <v>4.7215992405257694</v>
      </c>
      <c r="G911" s="302">
        <v>20.06919305369966</v>
      </c>
      <c r="H911" s="302">
        <f t="shared" ref="H911:H918" si="335">SUM(F911:G911)</f>
        <v>24.79079229422543</v>
      </c>
      <c r="I911" s="303"/>
      <c r="J911" s="302">
        <v>6.1240334926658457</v>
      </c>
      <c r="K911" s="302">
        <v>21.475166020830692</v>
      </c>
      <c r="L911" s="302">
        <f t="shared" ref="L911:L918" si="336">SUM(J911:K911)</f>
        <v>27.599199513496536</v>
      </c>
      <c r="M911" s="236"/>
      <c r="N911" s="236"/>
    </row>
    <row r="912" spans="1:14" x14ac:dyDescent="0.2">
      <c r="A912" s="237" t="str">
        <f>name!E$6</f>
        <v>Associate professional occupations</v>
      </c>
      <c r="B912" s="302">
        <v>2.9428066599845524</v>
      </c>
      <c r="C912" s="302">
        <v>10.040016208058452</v>
      </c>
      <c r="D912" s="302">
        <f t="shared" si="334"/>
        <v>12.982822868043005</v>
      </c>
      <c r="E912" s="303"/>
      <c r="F912" s="302">
        <v>3.0354739403939774</v>
      </c>
      <c r="G912" s="302">
        <v>8.5300303196436378</v>
      </c>
      <c r="H912" s="302">
        <f t="shared" si="335"/>
        <v>11.565504260037615</v>
      </c>
      <c r="I912" s="303"/>
      <c r="J912" s="302">
        <v>3.5732587732790444</v>
      </c>
      <c r="K912" s="302">
        <v>7.6877865496963613</v>
      </c>
      <c r="L912" s="302">
        <f t="shared" si="336"/>
        <v>11.261045322975406</v>
      </c>
      <c r="M912" s="236"/>
      <c r="N912" s="236"/>
    </row>
    <row r="913" spans="1:14" x14ac:dyDescent="0.2">
      <c r="A913" s="237" t="str">
        <f>name!E$7</f>
        <v>Administrative and secretarial occupations</v>
      </c>
      <c r="B913" s="302">
        <v>5.1777736040065196</v>
      </c>
      <c r="C913" s="302">
        <v>2.6942757689083359</v>
      </c>
      <c r="D913" s="302">
        <f t="shared" si="334"/>
        <v>7.8720493729148551</v>
      </c>
      <c r="E913" s="303"/>
      <c r="F913" s="302">
        <v>4.5900522583839702</v>
      </c>
      <c r="G913" s="302">
        <v>2.2289302487360239</v>
      </c>
      <c r="H913" s="302">
        <f t="shared" si="335"/>
        <v>6.8189825071199941</v>
      </c>
      <c r="I913" s="303"/>
      <c r="J913" s="302">
        <v>3.5540339236015992</v>
      </c>
      <c r="K913" s="302">
        <v>2.0301722563386932</v>
      </c>
      <c r="L913" s="302">
        <f t="shared" si="336"/>
        <v>5.584206179940292</v>
      </c>
      <c r="M913" s="236"/>
      <c r="N913" s="236"/>
    </row>
    <row r="914" spans="1:14" x14ac:dyDescent="0.2">
      <c r="A914" s="237" t="str">
        <f>name!E$8</f>
        <v>Skilled trades occupations</v>
      </c>
      <c r="B914" s="302">
        <v>0.12863602608163446</v>
      </c>
      <c r="C914" s="302">
        <v>2.8778503192895886</v>
      </c>
      <c r="D914" s="302">
        <f t="shared" si="334"/>
        <v>3.0064863453712229</v>
      </c>
      <c r="E914" s="303"/>
      <c r="F914" s="302">
        <v>0.13197307773294215</v>
      </c>
      <c r="G914" s="302">
        <v>1.6650192959394894</v>
      </c>
      <c r="H914" s="302">
        <f t="shared" si="335"/>
        <v>1.7969923736724316</v>
      </c>
      <c r="I914" s="303"/>
      <c r="J914" s="302">
        <v>0.2893381009249581</v>
      </c>
      <c r="K914" s="302">
        <v>1.4612950764475441</v>
      </c>
      <c r="L914" s="302">
        <f t="shared" si="336"/>
        <v>1.7506331773725021</v>
      </c>
      <c r="M914" s="236"/>
      <c r="N914" s="236"/>
    </row>
    <row r="915" spans="1:14" x14ac:dyDescent="0.2">
      <c r="A915" s="237" t="str">
        <f>name!E$9</f>
        <v>Caring, leisure and other service occupations</v>
      </c>
      <c r="B915" s="302">
        <v>9.7752896247806836E-2</v>
      </c>
      <c r="C915" s="302">
        <v>0.30254709190952539</v>
      </c>
      <c r="D915" s="302">
        <f t="shared" si="334"/>
        <v>0.40029998815733225</v>
      </c>
      <c r="E915" s="303"/>
      <c r="F915" s="302">
        <v>8.4864379990925484E-2</v>
      </c>
      <c r="G915" s="302">
        <v>0.22521720137285098</v>
      </c>
      <c r="H915" s="302">
        <f t="shared" si="335"/>
        <v>0.31008158136377645</v>
      </c>
      <c r="I915" s="303"/>
      <c r="J915" s="302">
        <v>0.1109571801749157</v>
      </c>
      <c r="K915" s="302">
        <v>0.36080682024296518</v>
      </c>
      <c r="L915" s="302">
        <f t="shared" si="336"/>
        <v>0.47176400041788086</v>
      </c>
      <c r="M915" s="236"/>
      <c r="N915" s="236"/>
    </row>
    <row r="916" spans="1:14" x14ac:dyDescent="0.2">
      <c r="A916" s="237" t="str">
        <f>name!E$10</f>
        <v>Sales and customer service occupations</v>
      </c>
      <c r="B916" s="302">
        <v>0.83509262142536456</v>
      </c>
      <c r="C916" s="302">
        <v>1.0337474234133011</v>
      </c>
      <c r="D916" s="302">
        <f t="shared" si="334"/>
        <v>1.8688400448386657</v>
      </c>
      <c r="E916" s="303"/>
      <c r="F916" s="302">
        <v>0.69057836011951623</v>
      </c>
      <c r="G916" s="302">
        <v>0.80341397129808478</v>
      </c>
      <c r="H916" s="302">
        <f t="shared" si="335"/>
        <v>1.4939923314176009</v>
      </c>
      <c r="I916" s="303"/>
      <c r="J916" s="302">
        <v>0.72023481603514961</v>
      </c>
      <c r="K916" s="302">
        <v>0.95892602798384574</v>
      </c>
      <c r="L916" s="302">
        <f t="shared" si="336"/>
        <v>1.6791608440189953</v>
      </c>
      <c r="M916" s="236"/>
      <c r="N916" s="236"/>
    </row>
    <row r="917" spans="1:14" x14ac:dyDescent="0.2">
      <c r="A917" s="237" t="str">
        <f>name!E$11</f>
        <v>Process, plant and machine operatives</v>
      </c>
      <c r="B917" s="302">
        <v>0.107331157722254</v>
      </c>
      <c r="C917" s="302">
        <v>1.1592395831441316</v>
      </c>
      <c r="D917" s="302">
        <f t="shared" si="334"/>
        <v>1.2665707408663855</v>
      </c>
      <c r="E917" s="303"/>
      <c r="F917" s="302">
        <v>9.1095666184369831E-2</v>
      </c>
      <c r="G917" s="302">
        <v>0.73199554459812344</v>
      </c>
      <c r="H917" s="302">
        <f t="shared" si="335"/>
        <v>0.82309121078249325</v>
      </c>
      <c r="I917" s="303"/>
      <c r="J917" s="302">
        <v>0.15612419243052419</v>
      </c>
      <c r="K917" s="302">
        <v>0.81758891647011744</v>
      </c>
      <c r="L917" s="302">
        <f t="shared" si="336"/>
        <v>0.97371310890064167</v>
      </c>
      <c r="M917" s="236"/>
      <c r="N917" s="236"/>
    </row>
    <row r="918" spans="1:14" x14ac:dyDescent="0.2">
      <c r="A918" s="237" t="str">
        <f>name!E$12</f>
        <v>Elementary occupations</v>
      </c>
      <c r="B918" s="302">
        <v>0.42114224171880188</v>
      </c>
      <c r="C918" s="302">
        <v>0.82217057658406001</v>
      </c>
      <c r="D918" s="302">
        <f t="shared" si="334"/>
        <v>1.2433128183028619</v>
      </c>
      <c r="E918" s="303"/>
      <c r="F918" s="302">
        <v>0.31675762612096969</v>
      </c>
      <c r="G918" s="302">
        <v>0.57311319843228947</v>
      </c>
      <c r="H918" s="302">
        <f t="shared" si="335"/>
        <v>0.88987082455325917</v>
      </c>
      <c r="I918" s="303"/>
      <c r="J918" s="302">
        <v>0.32715326682593804</v>
      </c>
      <c r="K918" s="302">
        <v>0.54034675203632243</v>
      </c>
      <c r="L918" s="302">
        <f t="shared" si="336"/>
        <v>0.86750001886226047</v>
      </c>
      <c r="M918" s="236"/>
      <c r="N918" s="236"/>
    </row>
    <row r="919" spans="1:14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2">
      <c r="A920" s="244" t="s">
        <v>32</v>
      </c>
      <c r="B920" s="311">
        <f>SUM(B910:B918)</f>
        <v>15.309000000106971</v>
      </c>
      <c r="C920" s="311">
        <f t="shared" ref="C920:D920" si="337">SUM(C910:C918)</f>
        <v>51.179999999557324</v>
      </c>
      <c r="D920" s="311">
        <f t="shared" si="337"/>
        <v>66.488999999664301</v>
      </c>
      <c r="E920" s="311"/>
      <c r="F920" s="311">
        <f t="shared" ref="F920:H920" si="338">SUM(F910:F918)</f>
        <v>15.570999999704243</v>
      </c>
      <c r="G920" s="311">
        <f t="shared" si="338"/>
        <v>42.333999999046469</v>
      </c>
      <c r="H920" s="311">
        <f t="shared" si="338"/>
        <v>57.904999998750718</v>
      </c>
      <c r="I920" s="311"/>
      <c r="J920" s="311">
        <f t="shared" ref="J920:L920" si="339">SUM(J910:J918)</f>
        <v>17.231000000214774</v>
      </c>
      <c r="K920" s="311">
        <f t="shared" si="339"/>
        <v>43.115999999175465</v>
      </c>
      <c r="L920" s="311">
        <f t="shared" si="339"/>
        <v>60.346999999390242</v>
      </c>
      <c r="M920" s="236"/>
      <c r="N920" s="236"/>
    </row>
    <row r="921" spans="1:14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2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2">
      <c r="A924" s="241" t="str">
        <f>name!A57</f>
        <v>Scientific research and development</v>
      </c>
      <c r="B924" s="372">
        <f>B$6</f>
        <v>2015</v>
      </c>
      <c r="C924" s="372"/>
      <c r="D924" s="372"/>
      <c r="E924" s="253"/>
      <c r="F924" s="372">
        <f>F$6</f>
        <v>2020</v>
      </c>
      <c r="G924" s="372"/>
      <c r="H924" s="372"/>
      <c r="I924" s="253"/>
      <c r="J924" s="372">
        <f>J$6</f>
        <v>2035</v>
      </c>
      <c r="K924" s="372"/>
      <c r="L924" s="372"/>
      <c r="M924" s="236"/>
      <c r="N924" s="236"/>
    </row>
    <row r="925" spans="1:14" x14ac:dyDescent="0.2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2">
      <c r="A927" s="237" t="str">
        <f>name!E$4</f>
        <v>Managers, directors and senior officials</v>
      </c>
      <c r="B927" s="302">
        <v>0.20680694240306796</v>
      </c>
      <c r="C927" s="302">
        <v>1.1145780519860482</v>
      </c>
      <c r="D927" s="302">
        <f>SUM(B927:C927)</f>
        <v>1.3213849943891161</v>
      </c>
      <c r="E927" s="303"/>
      <c r="F927" s="302">
        <v>0.31633152113369462</v>
      </c>
      <c r="G927" s="302">
        <v>0.9682747525944666</v>
      </c>
      <c r="H927" s="302">
        <f>SUM(F927:G927)</f>
        <v>1.2846062737281612</v>
      </c>
      <c r="I927" s="303"/>
      <c r="J927" s="302">
        <v>0.44934043336427748</v>
      </c>
      <c r="K927" s="302">
        <v>1.4331568775888572</v>
      </c>
      <c r="L927" s="302">
        <f>SUM(J927:K927)</f>
        <v>1.8824973109531347</v>
      </c>
      <c r="M927" s="236"/>
      <c r="N927" s="236"/>
    </row>
    <row r="928" spans="1:14" x14ac:dyDescent="0.2">
      <c r="A928" s="237" t="str">
        <f>name!E$5</f>
        <v>Professional occupations</v>
      </c>
      <c r="B928" s="302">
        <v>1.2916386509355509</v>
      </c>
      <c r="C928" s="302">
        <v>4.7023149465265428</v>
      </c>
      <c r="D928" s="302">
        <f t="shared" ref="D928:D935" si="340">SUM(B928:C928)</f>
        <v>5.9939535974620934</v>
      </c>
      <c r="E928" s="303"/>
      <c r="F928" s="302">
        <v>1.9998505698497304</v>
      </c>
      <c r="G928" s="302">
        <v>4.2266838172797501</v>
      </c>
      <c r="H928" s="302">
        <f t="shared" ref="H928:H935" si="341">SUM(F928:G928)</f>
        <v>6.2265343871294805</v>
      </c>
      <c r="I928" s="303"/>
      <c r="J928" s="302">
        <v>3.2642459902199561</v>
      </c>
      <c r="K928" s="302">
        <v>5.997361340451083</v>
      </c>
      <c r="L928" s="302">
        <f t="shared" ref="L928:L935" si="342">SUM(J928:K928)</f>
        <v>9.2616073306710387</v>
      </c>
      <c r="M928" s="236"/>
      <c r="N928" s="236"/>
    </row>
    <row r="929" spans="1:14" x14ac:dyDescent="0.2">
      <c r="A929" s="237" t="str">
        <f>name!E$6</f>
        <v>Associate professional occupations</v>
      </c>
      <c r="B929" s="302">
        <v>0.38132862483454733</v>
      </c>
      <c r="C929" s="302">
        <v>1.0873717514016807</v>
      </c>
      <c r="D929" s="302">
        <f t="shared" si="340"/>
        <v>1.4687003762362281</v>
      </c>
      <c r="E929" s="303"/>
      <c r="F929" s="302">
        <v>0.54397884592061718</v>
      </c>
      <c r="G929" s="302">
        <v>1.0498060722914724</v>
      </c>
      <c r="H929" s="302">
        <f t="shared" si="341"/>
        <v>1.5937849182120896</v>
      </c>
      <c r="I929" s="303"/>
      <c r="J929" s="302">
        <v>0.7877274091025549</v>
      </c>
      <c r="K929" s="302">
        <v>1.2913557901689949</v>
      </c>
      <c r="L929" s="302">
        <f t="shared" si="342"/>
        <v>2.0790831992715497</v>
      </c>
      <c r="M929" s="236"/>
      <c r="N929" s="236"/>
    </row>
    <row r="930" spans="1:14" x14ac:dyDescent="0.2">
      <c r="A930" s="237" t="str">
        <f>name!E$7</f>
        <v>Administrative and secretarial occupations</v>
      </c>
      <c r="B930" s="302">
        <v>0.45733115415695696</v>
      </c>
      <c r="C930" s="302">
        <v>0.24017428340036057</v>
      </c>
      <c r="D930" s="302">
        <f t="shared" si="340"/>
        <v>0.69750543755731753</v>
      </c>
      <c r="E930" s="303"/>
      <c r="F930" s="302">
        <v>0.54355960731161879</v>
      </c>
      <c r="G930" s="302">
        <v>0.19845626764455127</v>
      </c>
      <c r="H930" s="302">
        <f t="shared" si="341"/>
        <v>0.74201587495617005</v>
      </c>
      <c r="I930" s="303"/>
      <c r="J930" s="302">
        <v>0.53033275729197515</v>
      </c>
      <c r="K930" s="302">
        <v>0.27615233475110906</v>
      </c>
      <c r="L930" s="302">
        <f t="shared" si="342"/>
        <v>0.80648509204308416</v>
      </c>
      <c r="M930" s="236"/>
      <c r="N930" s="236"/>
    </row>
    <row r="931" spans="1:14" x14ac:dyDescent="0.2">
      <c r="A931" s="237" t="str">
        <f>name!E$8</f>
        <v>Skilled trades occupations</v>
      </c>
      <c r="B931" s="302">
        <v>3.9835559673849601E-2</v>
      </c>
      <c r="C931" s="302">
        <v>0.5529357721364937</v>
      </c>
      <c r="D931" s="302">
        <f t="shared" si="340"/>
        <v>0.59277133181034325</v>
      </c>
      <c r="E931" s="303"/>
      <c r="F931" s="302">
        <v>4.817289081192129E-2</v>
      </c>
      <c r="G931" s="302">
        <v>0.33641394888782844</v>
      </c>
      <c r="H931" s="302">
        <f t="shared" si="341"/>
        <v>0.38458683969974972</v>
      </c>
      <c r="I931" s="303"/>
      <c r="J931" s="302">
        <v>8.389669483002378E-2</v>
      </c>
      <c r="K931" s="302">
        <v>0.45143055454238218</v>
      </c>
      <c r="L931" s="302">
        <f t="shared" si="342"/>
        <v>0.53532724937240594</v>
      </c>
      <c r="M931" s="236"/>
      <c r="N931" s="236"/>
    </row>
    <row r="932" spans="1:14" x14ac:dyDescent="0.2">
      <c r="A932" s="237" t="str">
        <f>name!E$9</f>
        <v>Caring, leisure and other service occupations</v>
      </c>
      <c r="B932" s="302">
        <v>0.15981128993977575</v>
      </c>
      <c r="C932" s="302">
        <v>0.15501896131546583</v>
      </c>
      <c r="D932" s="302">
        <f t="shared" si="340"/>
        <v>0.31483025125524156</v>
      </c>
      <c r="E932" s="303"/>
      <c r="F932" s="302">
        <v>0.20458975807264576</v>
      </c>
      <c r="G932" s="302">
        <v>0.1376878752482375</v>
      </c>
      <c r="H932" s="302">
        <f t="shared" si="341"/>
        <v>0.34227763332088323</v>
      </c>
      <c r="I932" s="303"/>
      <c r="J932" s="302">
        <v>0.38139775802430176</v>
      </c>
      <c r="K932" s="302">
        <v>0.23235794525273476</v>
      </c>
      <c r="L932" s="302">
        <f t="shared" si="342"/>
        <v>0.61375570327703655</v>
      </c>
      <c r="M932" s="236"/>
      <c r="N932" s="236"/>
    </row>
    <row r="933" spans="1:14" x14ac:dyDescent="0.2">
      <c r="A933" s="237" t="str">
        <f>name!E$10</f>
        <v>Sales and customer service occupations</v>
      </c>
      <c r="B933" s="302">
        <v>9.1172238334007769E-2</v>
      </c>
      <c r="C933" s="302">
        <v>0.21137219428875559</v>
      </c>
      <c r="D933" s="302">
        <f t="shared" si="340"/>
        <v>0.30254443262276337</v>
      </c>
      <c r="E933" s="303"/>
      <c r="F933" s="302">
        <v>0.10449466930281877</v>
      </c>
      <c r="G933" s="302">
        <v>0.14578638178784589</v>
      </c>
      <c r="H933" s="302">
        <f t="shared" si="341"/>
        <v>0.25028105109066467</v>
      </c>
      <c r="I933" s="303"/>
      <c r="J933" s="302">
        <v>0.17272426859573375</v>
      </c>
      <c r="K933" s="302">
        <v>0.24421386221940788</v>
      </c>
      <c r="L933" s="302">
        <f t="shared" si="342"/>
        <v>0.41693813081514164</v>
      </c>
      <c r="M933" s="236"/>
      <c r="N933" s="236"/>
    </row>
    <row r="934" spans="1:14" x14ac:dyDescent="0.2">
      <c r="A934" s="237" t="str">
        <f>name!E$11</f>
        <v>Process, plant and machine operatives</v>
      </c>
      <c r="B934" s="302">
        <v>4.57352461108902E-2</v>
      </c>
      <c r="C934" s="302">
        <v>0.25934197768274098</v>
      </c>
      <c r="D934" s="302">
        <f t="shared" si="340"/>
        <v>0.30507722379363117</v>
      </c>
      <c r="E934" s="303"/>
      <c r="F934" s="302">
        <v>4.7709349050889201E-2</v>
      </c>
      <c r="G934" s="302">
        <v>0.17779608656386783</v>
      </c>
      <c r="H934" s="302">
        <f t="shared" si="341"/>
        <v>0.22550543561475703</v>
      </c>
      <c r="I934" s="303"/>
      <c r="J934" s="302">
        <v>8.6955726285695811E-2</v>
      </c>
      <c r="K934" s="302">
        <v>0.29319574690727351</v>
      </c>
      <c r="L934" s="302">
        <f t="shared" si="342"/>
        <v>0.38015147319296932</v>
      </c>
      <c r="M934" s="236"/>
      <c r="N934" s="236"/>
    </row>
    <row r="935" spans="1:14" x14ac:dyDescent="0.2">
      <c r="A935" s="237" t="str">
        <f>name!E$12</f>
        <v>Elementary occupations</v>
      </c>
      <c r="B935" s="302">
        <v>0.15734029368384511</v>
      </c>
      <c r="C935" s="302">
        <v>0.21389206124640739</v>
      </c>
      <c r="D935" s="302">
        <f t="shared" si="340"/>
        <v>0.37123235493025253</v>
      </c>
      <c r="E935" s="303"/>
      <c r="F935" s="302">
        <v>0.14831278847489024</v>
      </c>
      <c r="G935" s="302">
        <v>0.12809479757622227</v>
      </c>
      <c r="H935" s="302">
        <f t="shared" si="341"/>
        <v>0.27640758605111249</v>
      </c>
      <c r="I935" s="303"/>
      <c r="J935" s="302">
        <v>0.1893789624131253</v>
      </c>
      <c r="K935" s="302">
        <v>0.17977554797177062</v>
      </c>
      <c r="L935" s="302">
        <f t="shared" si="342"/>
        <v>0.36915451038489588</v>
      </c>
      <c r="M935" s="236"/>
      <c r="N935" s="236"/>
    </row>
    <row r="936" spans="1:14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2">
      <c r="A937" s="244" t="s">
        <v>32</v>
      </c>
      <c r="B937" s="311">
        <f>SUM(B927:B935)</f>
        <v>2.8310000000724922</v>
      </c>
      <c r="C937" s="311">
        <f t="shared" ref="C937:D937" si="343">SUM(C927:C935)</f>
        <v>8.536999999984495</v>
      </c>
      <c r="D937" s="311">
        <f t="shared" si="343"/>
        <v>11.368000000056988</v>
      </c>
      <c r="E937" s="311"/>
      <c r="F937" s="311">
        <f t="shared" ref="F937:H937" si="344">SUM(F927:F935)</f>
        <v>3.9569999999288266</v>
      </c>
      <c r="G937" s="311">
        <f t="shared" si="344"/>
        <v>7.3689999998742417</v>
      </c>
      <c r="H937" s="311">
        <f t="shared" si="344"/>
        <v>11.325999999803068</v>
      </c>
      <c r="I937" s="311"/>
      <c r="J937" s="311">
        <f t="shared" ref="J937:L937" si="345">SUM(J927:J935)</f>
        <v>5.9460000001276452</v>
      </c>
      <c r="K937" s="311">
        <f t="shared" si="345"/>
        <v>10.398999999853611</v>
      </c>
      <c r="L937" s="311">
        <f t="shared" si="345"/>
        <v>16.344999999981255</v>
      </c>
      <c r="M937" s="236"/>
      <c r="N937" s="236"/>
    </row>
    <row r="938" spans="1:14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2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2">
      <c r="A941" s="241" t="str">
        <f>name!A58</f>
        <v>Advertising, etc</v>
      </c>
      <c r="B941" s="372">
        <f>B$6</f>
        <v>2015</v>
      </c>
      <c r="C941" s="372"/>
      <c r="D941" s="372"/>
      <c r="E941" s="253"/>
      <c r="F941" s="372">
        <f>F$6</f>
        <v>2020</v>
      </c>
      <c r="G941" s="372"/>
      <c r="H941" s="372"/>
      <c r="I941" s="253"/>
      <c r="J941" s="372">
        <f>J$6</f>
        <v>2035</v>
      </c>
      <c r="K941" s="372"/>
      <c r="L941" s="372"/>
      <c r="M941" s="236"/>
      <c r="N941" s="236"/>
    </row>
    <row r="942" spans="1:14" x14ac:dyDescent="0.2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2">
      <c r="A944" s="237" t="str">
        <f>name!E$4</f>
        <v>Managers, directors and senior officials</v>
      </c>
      <c r="B944" s="302">
        <v>0.57018504137312198</v>
      </c>
      <c r="C944" s="302">
        <v>0.97283016342594497</v>
      </c>
      <c r="D944" s="302">
        <f>SUM(B944:C944)</f>
        <v>1.5430152047990671</v>
      </c>
      <c r="E944" s="303"/>
      <c r="F944" s="302">
        <v>1.0136357270560892</v>
      </c>
      <c r="G944" s="302">
        <v>0.78478440014287498</v>
      </c>
      <c r="H944" s="302">
        <f>SUM(F944:G944)</f>
        <v>1.7984201271989642</v>
      </c>
      <c r="I944" s="303"/>
      <c r="J944" s="302">
        <v>1.6076743653032812</v>
      </c>
      <c r="K944" s="302">
        <v>1.2363426631811212</v>
      </c>
      <c r="L944" s="302">
        <f>SUM(J944:K944)</f>
        <v>2.8440170284844024</v>
      </c>
      <c r="M944" s="236"/>
      <c r="N944" s="236"/>
    </row>
    <row r="945" spans="1:14" x14ac:dyDescent="0.2">
      <c r="A945" s="237" t="str">
        <f>name!E$5</f>
        <v>Professional occupations</v>
      </c>
      <c r="B945" s="302">
        <v>1.3940436390827431</v>
      </c>
      <c r="C945" s="302">
        <v>2.5830172122237727</v>
      </c>
      <c r="D945" s="302">
        <f t="shared" ref="D945:D952" si="346">SUM(B945:C945)</f>
        <v>3.9770608513065158</v>
      </c>
      <c r="E945" s="303"/>
      <c r="F945" s="302">
        <v>2.2699242694789317</v>
      </c>
      <c r="G945" s="302">
        <v>1.9529554704559997</v>
      </c>
      <c r="H945" s="302">
        <f t="shared" ref="H945:H952" si="347">SUM(F945:G945)</f>
        <v>4.2228797399349318</v>
      </c>
      <c r="I945" s="303"/>
      <c r="J945" s="302">
        <v>3.8033260414345347</v>
      </c>
      <c r="K945" s="302">
        <v>2.8561597102909415</v>
      </c>
      <c r="L945" s="302">
        <f t="shared" ref="L945:L952" si="348">SUM(J945:K945)</f>
        <v>6.6594857517254766</v>
      </c>
      <c r="M945" s="236"/>
      <c r="N945" s="236"/>
    </row>
    <row r="946" spans="1:14" x14ac:dyDescent="0.2">
      <c r="A946" s="237" t="str">
        <f>name!E$6</f>
        <v>Associate professional occupations</v>
      </c>
      <c r="B946" s="302">
        <v>1.0808560798334856</v>
      </c>
      <c r="C946" s="302">
        <v>1.0905534775371548</v>
      </c>
      <c r="D946" s="302">
        <f t="shared" si="346"/>
        <v>2.1714095573706405</v>
      </c>
      <c r="E946" s="303"/>
      <c r="F946" s="302">
        <v>1.5583254178459363</v>
      </c>
      <c r="G946" s="302">
        <v>0.87736717943166787</v>
      </c>
      <c r="H946" s="302">
        <f t="shared" si="347"/>
        <v>2.4356925972776042</v>
      </c>
      <c r="I946" s="303"/>
      <c r="J946" s="302">
        <v>2.5596630760477397</v>
      </c>
      <c r="K946" s="302">
        <v>1.1171818072277173</v>
      </c>
      <c r="L946" s="302">
        <f t="shared" si="348"/>
        <v>3.6768448832754572</v>
      </c>
      <c r="M946" s="236"/>
      <c r="N946" s="236"/>
    </row>
    <row r="947" spans="1:14" x14ac:dyDescent="0.2">
      <c r="A947" s="237" t="str">
        <f>name!E$7</f>
        <v>Administrative and secretarial occupations</v>
      </c>
      <c r="B947" s="302">
        <v>1.8641291643187847</v>
      </c>
      <c r="C947" s="302">
        <v>0.30642639234058883</v>
      </c>
      <c r="D947" s="302">
        <f t="shared" si="346"/>
        <v>2.1705555566593735</v>
      </c>
      <c r="E947" s="303"/>
      <c r="F947" s="302">
        <v>2.8395289843393394</v>
      </c>
      <c r="G947" s="302">
        <v>0.2885811520283163</v>
      </c>
      <c r="H947" s="302">
        <f t="shared" si="347"/>
        <v>3.1281101363676558</v>
      </c>
      <c r="I947" s="303"/>
      <c r="J947" s="302">
        <v>3.1936058429385805</v>
      </c>
      <c r="K947" s="302">
        <v>0.31443245637880057</v>
      </c>
      <c r="L947" s="302">
        <f t="shared" si="348"/>
        <v>3.5080382993173811</v>
      </c>
      <c r="M947" s="236"/>
      <c r="N947" s="236"/>
    </row>
    <row r="948" spans="1:14" x14ac:dyDescent="0.2">
      <c r="A948" s="237" t="str">
        <f>name!E$8</f>
        <v>Skilled trades occupations</v>
      </c>
      <c r="B948" s="302">
        <v>4.6495382628111315E-2</v>
      </c>
      <c r="C948" s="302">
        <v>0.32258417637584852</v>
      </c>
      <c r="D948" s="302">
        <f t="shared" si="346"/>
        <v>0.36907955900395983</v>
      </c>
      <c r="E948" s="303"/>
      <c r="F948" s="302">
        <v>6.7406892016563427E-2</v>
      </c>
      <c r="G948" s="302">
        <v>0.17927672654821591</v>
      </c>
      <c r="H948" s="302">
        <f t="shared" si="347"/>
        <v>0.24668361856477933</v>
      </c>
      <c r="I948" s="303"/>
      <c r="J948" s="302">
        <v>0.18350754653794427</v>
      </c>
      <c r="K948" s="302">
        <v>0.25872746785375972</v>
      </c>
      <c r="L948" s="302">
        <f t="shared" si="348"/>
        <v>0.44223501439170398</v>
      </c>
      <c r="M948" s="236"/>
      <c r="N948" s="236"/>
    </row>
    <row r="949" spans="1:14" x14ac:dyDescent="0.2">
      <c r="A949" s="237" t="str">
        <f>name!E$9</f>
        <v>Caring, leisure and other service occupations</v>
      </c>
      <c r="B949" s="302">
        <v>3.8219991496913595E-2</v>
      </c>
      <c r="C949" s="302">
        <v>4.3759552775079993E-2</v>
      </c>
      <c r="D949" s="302">
        <f t="shared" si="346"/>
        <v>8.1979544271993582E-2</v>
      </c>
      <c r="E949" s="303"/>
      <c r="F949" s="302">
        <v>5.1232441775450034E-2</v>
      </c>
      <c r="G949" s="302">
        <v>3.3780317333746014E-2</v>
      </c>
      <c r="H949" s="302">
        <f t="shared" si="347"/>
        <v>8.5012759109196048E-2</v>
      </c>
      <c r="I949" s="303"/>
      <c r="J949" s="302">
        <v>0.10471818831064289</v>
      </c>
      <c r="K949" s="302">
        <v>8.1110856562689626E-2</v>
      </c>
      <c r="L949" s="302">
        <f t="shared" si="348"/>
        <v>0.18582904487333252</v>
      </c>
      <c r="M949" s="236"/>
      <c r="N949" s="236"/>
    </row>
    <row r="950" spans="1:14" x14ac:dyDescent="0.2">
      <c r="A950" s="237" t="str">
        <f>name!E$10</f>
        <v>Sales and customer service occupations</v>
      </c>
      <c r="B950" s="302">
        <v>0.29307186585790412</v>
      </c>
      <c r="C950" s="302">
        <v>0.13554120635949302</v>
      </c>
      <c r="D950" s="302">
        <f t="shared" si="346"/>
        <v>0.42861307221739714</v>
      </c>
      <c r="E950" s="303"/>
      <c r="F950" s="302">
        <v>0.38302668242658705</v>
      </c>
      <c r="G950" s="302">
        <v>0.13447348645745097</v>
      </c>
      <c r="H950" s="302">
        <f t="shared" si="347"/>
        <v>0.51750016888403805</v>
      </c>
      <c r="I950" s="303"/>
      <c r="J950" s="302">
        <v>0.52903212285404377</v>
      </c>
      <c r="K950" s="302">
        <v>0.24239913802306279</v>
      </c>
      <c r="L950" s="302">
        <f t="shared" si="348"/>
        <v>0.77143126087710656</v>
      </c>
      <c r="M950" s="236"/>
      <c r="N950" s="236"/>
    </row>
    <row r="951" spans="1:14" x14ac:dyDescent="0.2">
      <c r="A951" s="237" t="str">
        <f>name!E$11</f>
        <v>Process, plant and machine operatives</v>
      </c>
      <c r="B951" s="302">
        <v>4.4125095176917754E-2</v>
      </c>
      <c r="C951" s="302">
        <v>0.12652305273972819</v>
      </c>
      <c r="D951" s="302">
        <f t="shared" si="346"/>
        <v>0.17064814791664595</v>
      </c>
      <c r="E951" s="303"/>
      <c r="F951" s="302">
        <v>6.8484955387358437E-2</v>
      </c>
      <c r="G951" s="302">
        <v>9.684905525987221E-2</v>
      </c>
      <c r="H951" s="302">
        <f t="shared" si="347"/>
        <v>0.16533401064723063</v>
      </c>
      <c r="I951" s="303"/>
      <c r="J951" s="302">
        <v>0.16804981566907776</v>
      </c>
      <c r="K951" s="302">
        <v>0.16853810018362095</v>
      </c>
      <c r="L951" s="302">
        <f t="shared" si="348"/>
        <v>0.3365879158526987</v>
      </c>
      <c r="M951" s="236"/>
      <c r="N951" s="236"/>
    </row>
    <row r="952" spans="1:14" x14ac:dyDescent="0.2">
      <c r="A952" s="237" t="str">
        <f>name!E$12</f>
        <v>Elementary occupations</v>
      </c>
      <c r="B952" s="302">
        <v>0.15087374028493145</v>
      </c>
      <c r="C952" s="302">
        <v>9.7764766197391106E-2</v>
      </c>
      <c r="D952" s="302">
        <f t="shared" si="346"/>
        <v>0.24863850648232255</v>
      </c>
      <c r="E952" s="303"/>
      <c r="F952" s="302">
        <v>0.18443462953545911</v>
      </c>
      <c r="G952" s="302">
        <v>8.8932212269067612E-2</v>
      </c>
      <c r="H952" s="302">
        <f t="shared" si="347"/>
        <v>0.27336684180452675</v>
      </c>
      <c r="I952" s="303"/>
      <c r="J952" s="302">
        <v>0.25842300105402705</v>
      </c>
      <c r="K952" s="302">
        <v>0.13210780023356133</v>
      </c>
      <c r="L952" s="302">
        <f t="shared" si="348"/>
        <v>0.39053080128758838</v>
      </c>
      <c r="M952" s="236"/>
      <c r="N952" s="236"/>
    </row>
    <row r="953" spans="1:14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2">
      <c r="A954" s="244" t="s">
        <v>32</v>
      </c>
      <c r="B954" s="311">
        <f>SUM(B944:B952)</f>
        <v>5.4820000000529143</v>
      </c>
      <c r="C954" s="311">
        <f t="shared" ref="C954:D954" si="349">SUM(C944:C952)</f>
        <v>5.6789999999750007</v>
      </c>
      <c r="D954" s="311">
        <f t="shared" si="349"/>
        <v>11.161000000027915</v>
      </c>
      <c r="E954" s="311"/>
      <c r="F954" s="311">
        <f t="shared" ref="F954:H954" si="350">SUM(F944:F952)</f>
        <v>8.4359999998617159</v>
      </c>
      <c r="G954" s="311">
        <f t="shared" si="350"/>
        <v>4.4369999999272114</v>
      </c>
      <c r="H954" s="311">
        <f t="shared" si="350"/>
        <v>12.872999999788927</v>
      </c>
      <c r="I954" s="311"/>
      <c r="J954" s="311">
        <f t="shared" ref="J954:L954" si="351">SUM(J944:J952)</f>
        <v>12.408000000149872</v>
      </c>
      <c r="K954" s="311">
        <f t="shared" si="351"/>
        <v>6.4069999999352758</v>
      </c>
      <c r="L954" s="311">
        <f t="shared" si="351"/>
        <v>18.815000000085149</v>
      </c>
      <c r="M954" s="236"/>
      <c r="N954" s="236"/>
    </row>
    <row r="955" spans="1:14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2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2">
      <c r="A958" s="241" t="str">
        <f>name!A59</f>
        <v>Other professional</v>
      </c>
      <c r="B958" s="372">
        <f>B$6</f>
        <v>2015</v>
      </c>
      <c r="C958" s="372"/>
      <c r="D958" s="372"/>
      <c r="E958" s="253"/>
      <c r="F958" s="372">
        <f>F$6</f>
        <v>2020</v>
      </c>
      <c r="G958" s="372"/>
      <c r="H958" s="372"/>
      <c r="I958" s="253"/>
      <c r="J958" s="372">
        <f>J$6</f>
        <v>2035</v>
      </c>
      <c r="K958" s="372"/>
      <c r="L958" s="372"/>
      <c r="M958" s="236"/>
      <c r="N958" s="236"/>
    </row>
    <row r="959" spans="1:14" x14ac:dyDescent="0.2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2">
      <c r="A961" s="237" t="str">
        <f>name!E$4</f>
        <v>Managers, directors and senior officials</v>
      </c>
      <c r="B961" s="302">
        <v>0.96754469607521154</v>
      </c>
      <c r="C961" s="302">
        <v>1.4939682491550852</v>
      </c>
      <c r="D961" s="302">
        <f>SUM(B961:C961)</f>
        <v>2.4615129452302966</v>
      </c>
      <c r="E961" s="303"/>
      <c r="F961" s="302">
        <v>1.2649432468009651</v>
      </c>
      <c r="G961" s="302">
        <v>1.0813074484526484</v>
      </c>
      <c r="H961" s="302">
        <f>SUM(F961:G961)</f>
        <v>2.3462506952536133</v>
      </c>
      <c r="I961" s="303"/>
      <c r="J961" s="302">
        <v>2.0214946246528869</v>
      </c>
      <c r="K961" s="302">
        <v>1.6645999948131438</v>
      </c>
      <c r="L961" s="302">
        <f>SUM(J961:K961)</f>
        <v>3.6860946194660307</v>
      </c>
      <c r="M961" s="236"/>
      <c r="N961" s="236"/>
    </row>
    <row r="962" spans="1:14" x14ac:dyDescent="0.2">
      <c r="A962" s="237" t="str">
        <f>name!E$5</f>
        <v>Professional occupations</v>
      </c>
      <c r="B962" s="302">
        <v>2.0084560835712719</v>
      </c>
      <c r="C962" s="302">
        <v>3.1702206231333285</v>
      </c>
      <c r="D962" s="302">
        <f t="shared" ref="D962:D969" si="352">SUM(B962:C962)</f>
        <v>5.1786767067046</v>
      </c>
      <c r="E962" s="303"/>
      <c r="F962" s="302">
        <v>2.824441929194526</v>
      </c>
      <c r="G962" s="302">
        <v>2.2984188273376112</v>
      </c>
      <c r="H962" s="302">
        <f t="shared" ref="H962:H969" si="353">SUM(F962:G962)</f>
        <v>5.1228607565321376</v>
      </c>
      <c r="I962" s="303"/>
      <c r="J962" s="302">
        <v>4.6828205629739879</v>
      </c>
      <c r="K962" s="302">
        <v>3.2906151664792929</v>
      </c>
      <c r="L962" s="302">
        <f t="shared" ref="L962:L969" si="354">SUM(J962:K962)</f>
        <v>7.9734357294532803</v>
      </c>
      <c r="M962" s="236"/>
      <c r="N962" s="236"/>
    </row>
    <row r="963" spans="1:14" x14ac:dyDescent="0.2">
      <c r="A963" s="237" t="str">
        <f>name!E$6</f>
        <v>Associate professional occupations</v>
      </c>
      <c r="B963" s="302">
        <v>1.7559834391970637</v>
      </c>
      <c r="C963" s="302">
        <v>1.923363382447997</v>
      </c>
      <c r="D963" s="302">
        <f t="shared" si="352"/>
        <v>3.6793468216450607</v>
      </c>
      <c r="E963" s="303"/>
      <c r="F963" s="302">
        <v>2.2128992656494479</v>
      </c>
      <c r="G963" s="302">
        <v>1.3884354584930043</v>
      </c>
      <c r="H963" s="302">
        <f t="shared" si="353"/>
        <v>3.6013347241424523</v>
      </c>
      <c r="I963" s="303"/>
      <c r="J963" s="302">
        <v>3.4725456003289983</v>
      </c>
      <c r="K963" s="302">
        <v>1.7909399240005641</v>
      </c>
      <c r="L963" s="302">
        <f t="shared" si="354"/>
        <v>5.2634855243295622</v>
      </c>
      <c r="M963" s="236"/>
      <c r="N963" s="236"/>
    </row>
    <row r="964" spans="1:14" x14ac:dyDescent="0.2">
      <c r="A964" s="237" t="str">
        <f>name!E$7</f>
        <v>Administrative and secretarial occupations</v>
      </c>
      <c r="B964" s="302">
        <v>2.5089490763195972</v>
      </c>
      <c r="C964" s="302">
        <v>0.43077893527298644</v>
      </c>
      <c r="D964" s="302">
        <f t="shared" si="352"/>
        <v>2.9397280115925835</v>
      </c>
      <c r="E964" s="303"/>
      <c r="F964" s="302">
        <v>2.8915069347545068</v>
      </c>
      <c r="G964" s="302">
        <v>0.32862511515160631</v>
      </c>
      <c r="H964" s="302">
        <f t="shared" si="353"/>
        <v>3.220132049906113</v>
      </c>
      <c r="I964" s="303"/>
      <c r="J964" s="302">
        <v>2.9707340773838014</v>
      </c>
      <c r="K964" s="302">
        <v>0.44106832986694472</v>
      </c>
      <c r="L964" s="302">
        <f t="shared" si="354"/>
        <v>3.4118024072507462</v>
      </c>
      <c r="M964" s="236"/>
      <c r="N964" s="236"/>
    </row>
    <row r="965" spans="1:14" x14ac:dyDescent="0.2">
      <c r="A965" s="237" t="str">
        <f>name!E$8</f>
        <v>Skilled trades occupations</v>
      </c>
      <c r="B965" s="302">
        <v>9.5660003515475364E-2</v>
      </c>
      <c r="C965" s="302">
        <v>0.70792627530580166</v>
      </c>
      <c r="D965" s="302">
        <f t="shared" si="352"/>
        <v>0.80358627882127698</v>
      </c>
      <c r="E965" s="303"/>
      <c r="F965" s="302">
        <v>0.12082223292994335</v>
      </c>
      <c r="G965" s="302">
        <v>0.35441316211760981</v>
      </c>
      <c r="H965" s="302">
        <f t="shared" si="353"/>
        <v>0.47523539504755319</v>
      </c>
      <c r="I965" s="303"/>
      <c r="J965" s="302">
        <v>0.29301738893764379</v>
      </c>
      <c r="K965" s="302">
        <v>0.47965342219715434</v>
      </c>
      <c r="L965" s="302">
        <f t="shared" si="354"/>
        <v>0.77267081113479819</v>
      </c>
      <c r="M965" s="236"/>
      <c r="N965" s="236"/>
    </row>
    <row r="966" spans="1:14" x14ac:dyDescent="0.2">
      <c r="A966" s="237" t="str">
        <f>name!E$9</f>
        <v>Caring, leisure and other service occupations</v>
      </c>
      <c r="B966" s="302">
        <v>0.55140047689376104</v>
      </c>
      <c r="C966" s="302">
        <v>0.22816198223392165</v>
      </c>
      <c r="D966" s="302">
        <f t="shared" si="352"/>
        <v>0.77956245912768263</v>
      </c>
      <c r="E966" s="303"/>
      <c r="F966" s="302">
        <v>0.71198385468990932</v>
      </c>
      <c r="G966" s="302">
        <v>0.17455798718075158</v>
      </c>
      <c r="H966" s="302">
        <f t="shared" si="353"/>
        <v>0.88654184187066087</v>
      </c>
      <c r="I966" s="303"/>
      <c r="J966" s="302">
        <v>1.2460502916045695</v>
      </c>
      <c r="K966" s="302">
        <v>0.32121574650322049</v>
      </c>
      <c r="L966" s="302">
        <f t="shared" si="354"/>
        <v>1.5672660381077899</v>
      </c>
      <c r="M966" s="236"/>
      <c r="N966" s="236"/>
    </row>
    <row r="967" spans="1:14" x14ac:dyDescent="0.2">
      <c r="A967" s="237" t="str">
        <f>name!E$10</f>
        <v>Sales and customer service occupations</v>
      </c>
      <c r="B967" s="302">
        <v>0.53224921580413709</v>
      </c>
      <c r="C967" s="302">
        <v>0.29727887533381342</v>
      </c>
      <c r="D967" s="302">
        <f t="shared" si="352"/>
        <v>0.82952809113795056</v>
      </c>
      <c r="E967" s="303"/>
      <c r="F967" s="302">
        <v>0.57561905453015449</v>
      </c>
      <c r="G967" s="302">
        <v>0.21938941892347411</v>
      </c>
      <c r="H967" s="302">
        <f t="shared" si="353"/>
        <v>0.79500847345362857</v>
      </c>
      <c r="I967" s="303"/>
      <c r="J967" s="302">
        <v>0.82397115085668116</v>
      </c>
      <c r="K967" s="302">
        <v>0.34736573600537435</v>
      </c>
      <c r="L967" s="302">
        <f t="shared" si="354"/>
        <v>1.1713368868620555</v>
      </c>
      <c r="M967" s="236"/>
      <c r="N967" s="236"/>
    </row>
    <row r="968" spans="1:14" x14ac:dyDescent="0.2">
      <c r="A968" s="237" t="str">
        <f>name!E$11</f>
        <v>Process, plant and machine operatives</v>
      </c>
      <c r="B968" s="302">
        <v>0.12580500700948968</v>
      </c>
      <c r="C968" s="302">
        <v>0.35871597649709069</v>
      </c>
      <c r="D968" s="302">
        <f t="shared" si="352"/>
        <v>0.48452098350658035</v>
      </c>
      <c r="E968" s="303"/>
      <c r="F968" s="302">
        <v>0.11585666664946283</v>
      </c>
      <c r="G968" s="302">
        <v>0.23236577379397363</v>
      </c>
      <c r="H968" s="302">
        <f t="shared" si="353"/>
        <v>0.34822244044343648</v>
      </c>
      <c r="I968" s="303"/>
      <c r="J968" s="302">
        <v>0.24103589560582606</v>
      </c>
      <c r="K968" s="302">
        <v>0.33863131361235932</v>
      </c>
      <c r="L968" s="302">
        <f t="shared" si="354"/>
        <v>0.57966720921818538</v>
      </c>
      <c r="M968" s="236"/>
      <c r="N968" s="236"/>
    </row>
    <row r="969" spans="1:14" x14ac:dyDescent="0.2">
      <c r="A969" s="237" t="str">
        <f>name!E$12</f>
        <v>Elementary occupations</v>
      </c>
      <c r="B969" s="302">
        <v>1.1979520016659944</v>
      </c>
      <c r="C969" s="302">
        <v>1.6945857006138674</v>
      </c>
      <c r="D969" s="302">
        <f t="shared" si="352"/>
        <v>2.8925377022798617</v>
      </c>
      <c r="E969" s="303"/>
      <c r="F969" s="302">
        <v>1.2629268146259656</v>
      </c>
      <c r="G969" s="302">
        <v>1.2184868084871712</v>
      </c>
      <c r="H969" s="302">
        <f t="shared" si="353"/>
        <v>2.481413623113137</v>
      </c>
      <c r="I969" s="303"/>
      <c r="J969" s="302">
        <v>1.8293304078054837</v>
      </c>
      <c r="K969" s="302">
        <v>1.7179103664764148</v>
      </c>
      <c r="L969" s="302">
        <f t="shared" si="354"/>
        <v>3.5472407742818985</v>
      </c>
      <c r="M969" s="236"/>
      <c r="N969" s="236"/>
    </row>
    <row r="970" spans="1:14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2">
      <c r="A971" s="244" t="s">
        <v>32</v>
      </c>
      <c r="B971" s="311">
        <f>SUM(B961:B969)</f>
        <v>9.7440000000520008</v>
      </c>
      <c r="C971" s="311">
        <f t="shared" ref="C971:D971" si="355">SUM(C961:C969)</f>
        <v>10.304999999993893</v>
      </c>
      <c r="D971" s="311">
        <f t="shared" si="355"/>
        <v>20.049000000045893</v>
      </c>
      <c r="E971" s="311"/>
      <c r="F971" s="311">
        <f t="shared" ref="F971:H971" si="356">SUM(F961:F969)</f>
        <v>11.980999999824883</v>
      </c>
      <c r="G971" s="311">
        <f t="shared" si="356"/>
        <v>7.2959999999378509</v>
      </c>
      <c r="H971" s="311">
        <f t="shared" si="356"/>
        <v>19.276999999762733</v>
      </c>
      <c r="I971" s="311"/>
      <c r="J971" s="311">
        <f t="shared" ref="J971:L971" si="357">SUM(J961:J969)</f>
        <v>17.581000000149878</v>
      </c>
      <c r="K971" s="311">
        <f t="shared" si="357"/>
        <v>10.391999999954468</v>
      </c>
      <c r="L971" s="311">
        <f t="shared" si="357"/>
        <v>27.973000000104346</v>
      </c>
      <c r="M971" s="236"/>
      <c r="N971" s="236"/>
    </row>
    <row r="972" spans="1:14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2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2">
      <c r="A975" s="241" t="str">
        <f>name!A60</f>
        <v>Veterinary</v>
      </c>
      <c r="B975" s="372">
        <f>B$6</f>
        <v>2015</v>
      </c>
      <c r="C975" s="372"/>
      <c r="D975" s="372"/>
      <c r="E975" s="253"/>
      <c r="F975" s="372">
        <f>F$6</f>
        <v>2020</v>
      </c>
      <c r="G975" s="372"/>
      <c r="H975" s="372"/>
      <c r="I975" s="253"/>
      <c r="J975" s="372">
        <f>J$6</f>
        <v>2035</v>
      </c>
      <c r="K975" s="372"/>
      <c r="L975" s="372"/>
      <c r="M975" s="236"/>
      <c r="N975" s="236"/>
    </row>
    <row r="976" spans="1:14" x14ac:dyDescent="0.2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2">
      <c r="A978" s="237" t="str">
        <f>name!E$4</f>
        <v>Managers, directors and senior officials</v>
      </c>
      <c r="B978" s="302">
        <v>0.26382559839206188</v>
      </c>
      <c r="C978" s="302">
        <v>0.39368381974325722</v>
      </c>
      <c r="D978" s="302">
        <f>SUM(B978:C978)</f>
        <v>0.65750941813531916</v>
      </c>
      <c r="E978" s="303"/>
      <c r="F978" s="302">
        <v>0.2946545211105448</v>
      </c>
      <c r="G978" s="302">
        <v>0.33623538954811616</v>
      </c>
      <c r="H978" s="302">
        <f>SUM(F978:G978)</f>
        <v>0.63088991065866096</v>
      </c>
      <c r="I978" s="303"/>
      <c r="J978" s="302">
        <v>0.48994282975698233</v>
      </c>
      <c r="K978" s="302">
        <v>0.43274343370553475</v>
      </c>
      <c r="L978" s="302">
        <f>SUM(J978:K978)</f>
        <v>0.92268626346251703</v>
      </c>
      <c r="M978" s="236"/>
      <c r="N978" s="236"/>
    </row>
    <row r="979" spans="1:14" x14ac:dyDescent="0.2">
      <c r="A979" s="237" t="str">
        <f>name!E$5</f>
        <v>Professional occupations</v>
      </c>
      <c r="B979" s="302">
        <v>2.1726841240541401</v>
      </c>
      <c r="C979" s="302">
        <v>1.8859257619333212</v>
      </c>
      <c r="D979" s="302">
        <f t="shared" ref="D979:D986" si="358">SUM(B979:C979)</f>
        <v>4.0586098859874618</v>
      </c>
      <c r="E979" s="303"/>
      <c r="F979" s="302">
        <v>2.5331806717300815</v>
      </c>
      <c r="G979" s="302">
        <v>1.9921144864206244</v>
      </c>
      <c r="H979" s="302">
        <f t="shared" ref="H979:H986" si="359">SUM(F979:G979)</f>
        <v>4.5252951581507057</v>
      </c>
      <c r="I979" s="303"/>
      <c r="J979" s="302">
        <v>4.1398077550556813</v>
      </c>
      <c r="K979" s="302">
        <v>2.9404380918133137</v>
      </c>
      <c r="L979" s="302">
        <f t="shared" ref="L979:L986" si="360">SUM(J979:K979)</f>
        <v>7.0802458468689951</v>
      </c>
      <c r="M979" s="236"/>
      <c r="N979" s="236"/>
    </row>
    <row r="980" spans="1:14" x14ac:dyDescent="0.2">
      <c r="A980" s="237" t="str">
        <f>name!E$6</f>
        <v>Associate professional occupations</v>
      </c>
      <c r="B980" s="302">
        <v>1.1321242420958118</v>
      </c>
      <c r="C980" s="302">
        <v>0.72887734675423044</v>
      </c>
      <c r="D980" s="302">
        <f t="shared" si="358"/>
        <v>1.8610015888500422</v>
      </c>
      <c r="E980" s="303"/>
      <c r="F980" s="302">
        <v>1.1291742661552475</v>
      </c>
      <c r="G980" s="302">
        <v>0.65019886203203991</v>
      </c>
      <c r="H980" s="302">
        <f t="shared" si="359"/>
        <v>1.7793731281872875</v>
      </c>
      <c r="I980" s="303"/>
      <c r="J980" s="302">
        <v>1.7560104444573676</v>
      </c>
      <c r="K980" s="302">
        <v>0.80699859697456733</v>
      </c>
      <c r="L980" s="302">
        <f t="shared" si="360"/>
        <v>2.5630090414319349</v>
      </c>
      <c r="M980" s="236"/>
      <c r="N980" s="236"/>
    </row>
    <row r="981" spans="1:14" x14ac:dyDescent="0.2">
      <c r="A981" s="237" t="str">
        <f>name!E$7</f>
        <v>Administrative and secretarial occupations</v>
      </c>
      <c r="B981" s="302">
        <v>0.67327355485105911</v>
      </c>
      <c r="C981" s="302">
        <v>0.24839575089707203</v>
      </c>
      <c r="D981" s="302">
        <f t="shared" si="358"/>
        <v>0.92166930574813111</v>
      </c>
      <c r="E981" s="303"/>
      <c r="F981" s="302">
        <v>0.49215220971329587</v>
      </c>
      <c r="G981" s="302">
        <v>0.18087552932946482</v>
      </c>
      <c r="H981" s="302">
        <f t="shared" si="359"/>
        <v>0.6730277390427607</v>
      </c>
      <c r="I981" s="303"/>
      <c r="J981" s="302">
        <v>0.39950550050972977</v>
      </c>
      <c r="K981" s="302">
        <v>0.21866217315995476</v>
      </c>
      <c r="L981" s="302">
        <f t="shared" si="360"/>
        <v>0.6181676736696845</v>
      </c>
      <c r="M981" s="236"/>
      <c r="N981" s="236"/>
    </row>
    <row r="982" spans="1:14" x14ac:dyDescent="0.2">
      <c r="A982" s="237" t="str">
        <f>name!E$8</f>
        <v>Skilled trades occupations</v>
      </c>
      <c r="B982" s="302">
        <v>6.0681434703102138E-2</v>
      </c>
      <c r="C982" s="302">
        <v>0.16485979032721301</v>
      </c>
      <c r="D982" s="302">
        <f t="shared" si="358"/>
        <v>0.22554122503031515</v>
      </c>
      <c r="E982" s="303"/>
      <c r="F982" s="302">
        <v>4.5498367660756087E-2</v>
      </c>
      <c r="G982" s="302">
        <v>8.3407796746360688E-2</v>
      </c>
      <c r="H982" s="302">
        <f t="shared" si="359"/>
        <v>0.12890616440711677</v>
      </c>
      <c r="I982" s="303"/>
      <c r="J982" s="302">
        <v>5.948077347968514E-2</v>
      </c>
      <c r="K982" s="302">
        <v>8.2088384272602691E-2</v>
      </c>
      <c r="L982" s="302">
        <f t="shared" si="360"/>
        <v>0.14156915775228784</v>
      </c>
      <c r="M982" s="236"/>
      <c r="N982" s="236"/>
    </row>
    <row r="983" spans="1:14" x14ac:dyDescent="0.2">
      <c r="A983" s="237" t="str">
        <f>name!E$9</f>
        <v>Caring, leisure and other service occupations</v>
      </c>
      <c r="B983" s="302">
        <v>3.6076499780172147</v>
      </c>
      <c r="C983" s="302">
        <v>0.65164552998240233</v>
      </c>
      <c r="D983" s="302">
        <f t="shared" si="358"/>
        <v>4.2592955079996173</v>
      </c>
      <c r="E983" s="303"/>
      <c r="F983" s="302">
        <v>3.3519272834081515</v>
      </c>
      <c r="G983" s="302">
        <v>0.5120108245002688</v>
      </c>
      <c r="H983" s="302">
        <f t="shared" si="359"/>
        <v>3.8639381079084201</v>
      </c>
      <c r="I983" s="303"/>
      <c r="J983" s="302">
        <v>4.9712403634063023</v>
      </c>
      <c r="K983" s="302">
        <v>0.90429572356351184</v>
      </c>
      <c r="L983" s="302">
        <f t="shared" si="360"/>
        <v>5.8755360869698139</v>
      </c>
      <c r="M983" s="236"/>
      <c r="N983" s="236"/>
    </row>
    <row r="984" spans="1:14" x14ac:dyDescent="0.2">
      <c r="A984" s="237" t="str">
        <f>name!E$10</f>
        <v>Sales and customer service occupations</v>
      </c>
      <c r="B984" s="302">
        <v>0.10287947510191742</v>
      </c>
      <c r="C984" s="302">
        <v>7.327825434197334E-2</v>
      </c>
      <c r="D984" s="302">
        <f t="shared" si="358"/>
        <v>0.17615772944389074</v>
      </c>
      <c r="E984" s="303"/>
      <c r="F984" s="302">
        <v>7.5397980829448499E-2</v>
      </c>
      <c r="G984" s="302">
        <v>4.6765594904958283E-2</v>
      </c>
      <c r="H984" s="302">
        <f t="shared" si="359"/>
        <v>0.12216357573440678</v>
      </c>
      <c r="I984" s="303"/>
      <c r="J984" s="302">
        <v>0.12130884603236684</v>
      </c>
      <c r="K984" s="302">
        <v>5.9058604136753103E-2</v>
      </c>
      <c r="L984" s="302">
        <f t="shared" si="360"/>
        <v>0.18036745016911995</v>
      </c>
      <c r="M984" s="236"/>
      <c r="N984" s="236"/>
    </row>
    <row r="985" spans="1:14" x14ac:dyDescent="0.2">
      <c r="A985" s="237" t="str">
        <f>name!E$11</f>
        <v>Process, plant and machine operatives</v>
      </c>
      <c r="B985" s="302">
        <v>1.4922613884925667E-2</v>
      </c>
      <c r="C985" s="302">
        <v>0.12878051629752915</v>
      </c>
      <c r="D985" s="302">
        <f t="shared" si="358"/>
        <v>0.14370313018245481</v>
      </c>
      <c r="E985" s="303"/>
      <c r="F985" s="302">
        <v>9.3058230876477341E-3</v>
      </c>
      <c r="G985" s="302">
        <v>6.6545633138173549E-2</v>
      </c>
      <c r="H985" s="302">
        <f t="shared" si="359"/>
        <v>7.585145622582129E-2</v>
      </c>
      <c r="I985" s="303"/>
      <c r="J985" s="302">
        <v>1.606670079585382E-2</v>
      </c>
      <c r="K985" s="302">
        <v>7.0446942597142334E-2</v>
      </c>
      <c r="L985" s="302">
        <f t="shared" si="360"/>
        <v>8.6513643392996151E-2</v>
      </c>
      <c r="M985" s="236"/>
      <c r="N985" s="236"/>
    </row>
    <row r="986" spans="1:14" x14ac:dyDescent="0.2">
      <c r="A986" s="237" t="str">
        <f>name!E$12</f>
        <v>Elementary occupations</v>
      </c>
      <c r="B986" s="302">
        <v>0.22495897862773237</v>
      </c>
      <c r="C986" s="302">
        <v>0.29055322972001041</v>
      </c>
      <c r="D986" s="302">
        <f t="shared" si="358"/>
        <v>0.51551220834774281</v>
      </c>
      <c r="E986" s="303"/>
      <c r="F986" s="302">
        <v>0.12670887647829107</v>
      </c>
      <c r="G986" s="302">
        <v>0.13784588333085795</v>
      </c>
      <c r="H986" s="302">
        <f t="shared" si="359"/>
        <v>0.264554759809149</v>
      </c>
      <c r="I986" s="303"/>
      <c r="J986" s="302">
        <v>0.21263678652118501</v>
      </c>
      <c r="K986" s="302">
        <v>0.1722680497124818</v>
      </c>
      <c r="L986" s="302">
        <f t="shared" si="360"/>
        <v>0.38490483623366678</v>
      </c>
      <c r="M986" s="236"/>
      <c r="N986" s="236"/>
    </row>
    <row r="987" spans="1:14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2">
      <c r="A988" s="244" t="s">
        <v>32</v>
      </c>
      <c r="B988" s="311">
        <f>SUM(B978:B986)</f>
        <v>8.2529999997279635</v>
      </c>
      <c r="C988" s="311">
        <f t="shared" ref="C988:D988" si="361">SUM(C978:C986)</f>
        <v>4.5659999999970085</v>
      </c>
      <c r="D988" s="311">
        <f t="shared" si="361"/>
        <v>12.818999999724976</v>
      </c>
      <c r="E988" s="311"/>
      <c r="F988" s="311">
        <f t="shared" ref="F988:H988" si="362">SUM(F978:F986)</f>
        <v>8.0580000001734646</v>
      </c>
      <c r="G988" s="311">
        <f t="shared" si="362"/>
        <v>4.0059999999508653</v>
      </c>
      <c r="H988" s="311">
        <f t="shared" si="362"/>
        <v>12.064000000124329</v>
      </c>
      <c r="I988" s="311"/>
      <c r="J988" s="311">
        <f t="shared" ref="J988:L988" si="363">SUM(J978:J986)</f>
        <v>12.166000000015154</v>
      </c>
      <c r="K988" s="311">
        <f t="shared" si="363"/>
        <v>5.6869999999358631</v>
      </c>
      <c r="L988" s="311">
        <f t="shared" si="363"/>
        <v>17.852999999951017</v>
      </c>
      <c r="M988" s="236"/>
      <c r="N988" s="236"/>
    </row>
    <row r="989" spans="1:14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2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2">
      <c r="A992" s="241" t="str">
        <f>name!A61</f>
        <v>Rental and leasing</v>
      </c>
      <c r="B992" s="372">
        <f>B$6</f>
        <v>2015</v>
      </c>
      <c r="C992" s="372"/>
      <c r="D992" s="372"/>
      <c r="E992" s="253"/>
      <c r="F992" s="372">
        <f>F$6</f>
        <v>2020</v>
      </c>
      <c r="G992" s="372"/>
      <c r="H992" s="372"/>
      <c r="I992" s="253"/>
      <c r="J992" s="372">
        <f>J$6</f>
        <v>2035</v>
      </c>
      <c r="K992" s="372"/>
      <c r="L992" s="372"/>
      <c r="M992" s="236"/>
      <c r="N992" s="236"/>
    </row>
    <row r="993" spans="1:14" x14ac:dyDescent="0.2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2">
      <c r="A995" s="237" t="str">
        <f>name!E$4</f>
        <v>Managers, directors and senior officials</v>
      </c>
      <c r="B995" s="302">
        <v>0.38643300718776175</v>
      </c>
      <c r="C995" s="302">
        <v>2.0248108877764719</v>
      </c>
      <c r="D995" s="302">
        <f>SUM(B995:C995)</f>
        <v>2.4112438949642336</v>
      </c>
      <c r="E995" s="303"/>
      <c r="F995" s="302">
        <v>0.51863950018928695</v>
      </c>
      <c r="G995" s="302">
        <v>2.3127340502956111</v>
      </c>
      <c r="H995" s="302">
        <f>SUM(F995:G995)</f>
        <v>2.8313735504848978</v>
      </c>
      <c r="I995" s="303"/>
      <c r="J995" s="302">
        <v>0.676670472794346</v>
      </c>
      <c r="K995" s="302">
        <v>2.9393835804539568</v>
      </c>
      <c r="L995" s="302">
        <f>SUM(J995:K995)</f>
        <v>3.6160540532483028</v>
      </c>
      <c r="M995" s="236"/>
      <c r="N995" s="236"/>
    </row>
    <row r="996" spans="1:14" x14ac:dyDescent="0.2">
      <c r="A996" s="237" t="str">
        <f>name!E$5</f>
        <v>Professional occupations</v>
      </c>
      <c r="B996" s="302">
        <v>0.46300758849425905</v>
      </c>
      <c r="C996" s="302">
        <v>1.4251750155791612</v>
      </c>
      <c r="D996" s="302">
        <f t="shared" ref="D996:D1003" si="364">SUM(B996:C996)</f>
        <v>1.8881826040734202</v>
      </c>
      <c r="E996" s="303"/>
      <c r="F996" s="302">
        <v>0.64030862050060255</v>
      </c>
      <c r="G996" s="302">
        <v>1.6819907501361171</v>
      </c>
      <c r="H996" s="302">
        <f t="shared" ref="H996:H1003" si="365">SUM(F996:G996)</f>
        <v>2.3222993706367197</v>
      </c>
      <c r="I996" s="303"/>
      <c r="J996" s="302">
        <v>0.87450752710293589</v>
      </c>
      <c r="K996" s="302">
        <v>2.2830296681690734</v>
      </c>
      <c r="L996" s="302">
        <f t="shared" ref="L996:L1003" si="366">SUM(J996:K996)</f>
        <v>3.1575371952720093</v>
      </c>
      <c r="M996" s="236"/>
      <c r="N996" s="236"/>
    </row>
    <row r="997" spans="1:14" x14ac:dyDescent="0.2">
      <c r="A997" s="237" t="str">
        <f>name!E$6</f>
        <v>Associate professional occupations</v>
      </c>
      <c r="B997" s="302">
        <v>0.46726124488086684</v>
      </c>
      <c r="C997" s="302">
        <v>1.0745506897173449</v>
      </c>
      <c r="D997" s="302">
        <f t="shared" si="364"/>
        <v>1.5418119345982118</v>
      </c>
      <c r="E997" s="303"/>
      <c r="F997" s="302">
        <v>0.5929897527676663</v>
      </c>
      <c r="G997" s="302">
        <v>1.1933242872707728</v>
      </c>
      <c r="H997" s="302">
        <f t="shared" si="365"/>
        <v>1.7863140400384392</v>
      </c>
      <c r="I997" s="303"/>
      <c r="J997" s="302">
        <v>0.72761760764246941</v>
      </c>
      <c r="K997" s="302">
        <v>1.3155571042768275</v>
      </c>
      <c r="L997" s="302">
        <f t="shared" si="366"/>
        <v>2.0431747119192969</v>
      </c>
      <c r="M997" s="236"/>
      <c r="N997" s="236"/>
    </row>
    <row r="998" spans="1:14" x14ac:dyDescent="0.2">
      <c r="A998" s="237" t="str">
        <f>name!E$7</f>
        <v>Administrative and secretarial occupations</v>
      </c>
      <c r="B998" s="302">
        <v>1.0328707706974478</v>
      </c>
      <c r="C998" s="302">
        <v>0.39866620003836623</v>
      </c>
      <c r="D998" s="302">
        <f t="shared" si="364"/>
        <v>1.4315369707358141</v>
      </c>
      <c r="E998" s="303"/>
      <c r="F998" s="302">
        <v>1.0765368124010775</v>
      </c>
      <c r="G998" s="302">
        <v>0.41853661017225191</v>
      </c>
      <c r="H998" s="302">
        <f t="shared" si="365"/>
        <v>1.4950734225733293</v>
      </c>
      <c r="I998" s="303"/>
      <c r="J998" s="302">
        <v>0.97808919651785531</v>
      </c>
      <c r="K998" s="302">
        <v>0.50556907038436127</v>
      </c>
      <c r="L998" s="302">
        <f t="shared" si="366"/>
        <v>1.4836582669022165</v>
      </c>
      <c r="M998" s="236"/>
      <c r="N998" s="236"/>
    </row>
    <row r="999" spans="1:14" x14ac:dyDescent="0.2">
      <c r="A999" s="237" t="str">
        <f>name!E$8</f>
        <v>Skilled trades occupations</v>
      </c>
      <c r="B999" s="302">
        <v>7.4933174991942367E-2</v>
      </c>
      <c r="C999" s="302">
        <v>1.5291934720321618</v>
      </c>
      <c r="D999" s="302">
        <f t="shared" si="364"/>
        <v>1.6041266470241042</v>
      </c>
      <c r="E999" s="303"/>
      <c r="F999" s="302">
        <v>0.10543919272787804</v>
      </c>
      <c r="G999" s="302">
        <v>1.2393282301201851</v>
      </c>
      <c r="H999" s="302">
        <f t="shared" si="365"/>
        <v>1.3447674228480631</v>
      </c>
      <c r="I999" s="303"/>
      <c r="J999" s="302">
        <v>0.24667626028441964</v>
      </c>
      <c r="K999" s="302">
        <v>1.2856551270367873</v>
      </c>
      <c r="L999" s="302">
        <f t="shared" si="366"/>
        <v>1.532331387321207</v>
      </c>
      <c r="M999" s="236"/>
      <c r="N999" s="236"/>
    </row>
    <row r="1000" spans="1:14" x14ac:dyDescent="0.2">
      <c r="A1000" s="237" t="str">
        <f>name!E$9</f>
        <v>Caring, leisure and other service occupations</v>
      </c>
      <c r="B1000" s="302">
        <v>0.12530731691939578</v>
      </c>
      <c r="C1000" s="302">
        <v>0.39753668853612523</v>
      </c>
      <c r="D1000" s="302">
        <f t="shared" si="364"/>
        <v>0.52284400545552101</v>
      </c>
      <c r="E1000" s="303"/>
      <c r="F1000" s="302">
        <v>0.15570828175864676</v>
      </c>
      <c r="G1000" s="302">
        <v>0.40418203944003656</v>
      </c>
      <c r="H1000" s="302">
        <f t="shared" si="365"/>
        <v>0.55989032119868332</v>
      </c>
      <c r="I1000" s="303"/>
      <c r="J1000" s="302">
        <v>0.16711674685455435</v>
      </c>
      <c r="K1000" s="302">
        <v>0.72936651175027734</v>
      </c>
      <c r="L1000" s="302">
        <f t="shared" si="366"/>
        <v>0.89648325860483169</v>
      </c>
      <c r="M1000" s="236"/>
      <c r="N1000" s="236"/>
    </row>
    <row r="1001" spans="1:14" x14ac:dyDescent="0.2">
      <c r="A1001" s="237" t="str">
        <f>name!E$10</f>
        <v>Sales and customer service occupations</v>
      </c>
      <c r="B1001" s="302">
        <v>0.66084916487505552</v>
      </c>
      <c r="C1001" s="302">
        <v>0.68408319142667495</v>
      </c>
      <c r="D1001" s="302">
        <f t="shared" si="364"/>
        <v>1.3449323563017304</v>
      </c>
      <c r="E1001" s="303"/>
      <c r="F1001" s="302">
        <v>0.67348607952848316</v>
      </c>
      <c r="G1001" s="302">
        <v>0.64060915752542869</v>
      </c>
      <c r="H1001" s="302">
        <f t="shared" si="365"/>
        <v>1.3140952370539118</v>
      </c>
      <c r="I1001" s="303"/>
      <c r="J1001" s="302">
        <v>0.84473951232360334</v>
      </c>
      <c r="K1001" s="302">
        <v>0.67315087642706239</v>
      </c>
      <c r="L1001" s="302">
        <f t="shared" si="366"/>
        <v>1.5178903887506658</v>
      </c>
      <c r="M1001" s="236"/>
      <c r="N1001" s="236"/>
    </row>
    <row r="1002" spans="1:14" x14ac:dyDescent="0.2">
      <c r="A1002" s="237" t="str">
        <f>name!E$11</f>
        <v>Process, plant and machine operatives</v>
      </c>
      <c r="B1002" s="302">
        <v>0.15425811809018661</v>
      </c>
      <c r="C1002" s="302">
        <v>2.0625604759747738</v>
      </c>
      <c r="D1002" s="302">
        <f t="shared" si="364"/>
        <v>2.2168185940649603</v>
      </c>
      <c r="E1002" s="303"/>
      <c r="F1002" s="302">
        <v>0.12807333934888288</v>
      </c>
      <c r="G1002" s="302">
        <v>1.8177489110417153</v>
      </c>
      <c r="H1002" s="302">
        <f t="shared" si="365"/>
        <v>1.9458222503905982</v>
      </c>
      <c r="I1002" s="303"/>
      <c r="J1002" s="302">
        <v>0.25144903036799865</v>
      </c>
      <c r="K1002" s="302">
        <v>2.0702333349505659</v>
      </c>
      <c r="L1002" s="302">
        <f t="shared" si="366"/>
        <v>2.3216823653185648</v>
      </c>
      <c r="M1002" s="236"/>
      <c r="N1002" s="236"/>
    </row>
    <row r="1003" spans="1:14" x14ac:dyDescent="0.2">
      <c r="A1003" s="237" t="str">
        <f>name!E$12</f>
        <v>Elementary occupations</v>
      </c>
      <c r="B1003" s="302">
        <v>0.17207961384740841</v>
      </c>
      <c r="C1003" s="302">
        <v>0.30542337893995714</v>
      </c>
      <c r="D1003" s="302">
        <f t="shared" si="364"/>
        <v>0.47750299278736552</v>
      </c>
      <c r="E1003" s="303"/>
      <c r="F1003" s="302">
        <v>0.15381842077653107</v>
      </c>
      <c r="G1003" s="302">
        <v>0.24754596403217619</v>
      </c>
      <c r="H1003" s="302">
        <f t="shared" si="365"/>
        <v>0.40136438480870729</v>
      </c>
      <c r="I1003" s="303"/>
      <c r="J1003" s="302">
        <v>0.2321336460882433</v>
      </c>
      <c r="K1003" s="302">
        <v>0.26905472662983221</v>
      </c>
      <c r="L1003" s="302">
        <f t="shared" si="366"/>
        <v>0.50118837271807548</v>
      </c>
      <c r="M1003" s="236"/>
      <c r="N1003" s="236"/>
    </row>
    <row r="1004" spans="1:14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2">
      <c r="A1005" s="244" t="s">
        <v>32</v>
      </c>
      <c r="B1005" s="311">
        <f>SUM(B995:B1003)</f>
        <v>3.5369999999843245</v>
      </c>
      <c r="C1005" s="311">
        <f t="shared" ref="C1005:D1005" si="367">SUM(C995:C1003)</f>
        <v>9.9020000000210384</v>
      </c>
      <c r="D1005" s="311">
        <f t="shared" si="367"/>
        <v>13.439000000005361</v>
      </c>
      <c r="E1005" s="311"/>
      <c r="F1005" s="311">
        <f t="shared" ref="F1005:H1005" si="368">SUM(F995:F1003)</f>
        <v>4.0449999999990558</v>
      </c>
      <c r="G1005" s="311">
        <f t="shared" si="368"/>
        <v>9.9560000000342939</v>
      </c>
      <c r="H1005" s="311">
        <f t="shared" si="368"/>
        <v>14.001000000033351</v>
      </c>
      <c r="I1005" s="311"/>
      <c r="J1005" s="311">
        <f t="shared" ref="J1005:L1005" si="369">SUM(J995:J1003)</f>
        <v>4.9989999999764265</v>
      </c>
      <c r="K1005" s="311">
        <f t="shared" si="369"/>
        <v>12.071000000078744</v>
      </c>
      <c r="L1005" s="311">
        <f t="shared" si="369"/>
        <v>17.07000000005517</v>
      </c>
      <c r="M1005" s="236"/>
      <c r="N1005" s="236"/>
    </row>
    <row r="1006" spans="1:14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2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2">
      <c r="A1009" s="241" t="str">
        <f>name!A62</f>
        <v>Employment activities</v>
      </c>
      <c r="B1009" s="372">
        <f>B$6</f>
        <v>2015</v>
      </c>
      <c r="C1009" s="372"/>
      <c r="D1009" s="372"/>
      <c r="E1009" s="253"/>
      <c r="F1009" s="372">
        <f>F$6</f>
        <v>2020</v>
      </c>
      <c r="G1009" s="372"/>
      <c r="H1009" s="372"/>
      <c r="I1009" s="253"/>
      <c r="J1009" s="372">
        <f>J$6</f>
        <v>2035</v>
      </c>
      <c r="K1009" s="372"/>
      <c r="L1009" s="372"/>
      <c r="M1009" s="236"/>
      <c r="N1009" s="236"/>
    </row>
    <row r="1010" spans="1:14" x14ac:dyDescent="0.2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2">
      <c r="A1012" s="237" t="str">
        <f>name!E$4</f>
        <v>Managers, directors and senior officials</v>
      </c>
      <c r="B1012" s="302">
        <v>1.5681374166625572</v>
      </c>
      <c r="C1012" s="302">
        <v>3.3738503054177102</v>
      </c>
      <c r="D1012" s="302">
        <f>SUM(B1012:C1012)</f>
        <v>4.9419877220802677</v>
      </c>
      <c r="E1012" s="303"/>
      <c r="F1012" s="302">
        <v>2.2182539236783012</v>
      </c>
      <c r="G1012" s="302">
        <v>4.0750502845076948</v>
      </c>
      <c r="H1012" s="302">
        <f>SUM(F1012:G1012)</f>
        <v>6.2933042081859956</v>
      </c>
      <c r="I1012" s="303"/>
      <c r="J1012" s="302">
        <v>2.8496580769537312</v>
      </c>
      <c r="K1012" s="302">
        <v>5.1127851498586914</v>
      </c>
      <c r="L1012" s="302">
        <f>SUM(J1012:K1012)</f>
        <v>7.9624432268124226</v>
      </c>
      <c r="M1012" s="236"/>
      <c r="N1012" s="236"/>
    </row>
    <row r="1013" spans="1:14" x14ac:dyDescent="0.2">
      <c r="A1013" s="237" t="str">
        <f>name!E$5</f>
        <v>Professional occupations</v>
      </c>
      <c r="B1013" s="302">
        <v>2.6632214936109229</v>
      </c>
      <c r="C1013" s="302">
        <v>3.1530407347044176</v>
      </c>
      <c r="D1013" s="302">
        <f t="shared" ref="D1013:D1020" si="370">SUM(B1013:C1013)</f>
        <v>5.81626222831534</v>
      </c>
      <c r="E1013" s="303"/>
      <c r="F1013" s="302">
        <v>3.8667985670882952</v>
      </c>
      <c r="G1013" s="302">
        <v>4.1515739711904862</v>
      </c>
      <c r="H1013" s="302">
        <f t="shared" ref="H1013:H1020" si="371">SUM(F1013:G1013)</f>
        <v>8.0183725382787809</v>
      </c>
      <c r="I1013" s="303"/>
      <c r="J1013" s="302">
        <v>5.3068095548722622</v>
      </c>
      <c r="K1013" s="302">
        <v>5.603787206076249</v>
      </c>
      <c r="L1013" s="302">
        <f t="shared" ref="L1013:L1020" si="372">SUM(J1013:K1013)</f>
        <v>10.910596760948511</v>
      </c>
      <c r="M1013" s="236"/>
      <c r="N1013" s="236"/>
    </row>
    <row r="1014" spans="1:14" x14ac:dyDescent="0.2">
      <c r="A1014" s="237" t="str">
        <f>name!E$6</f>
        <v>Associate professional occupations</v>
      </c>
      <c r="B1014" s="302">
        <v>3.9668763648226277</v>
      </c>
      <c r="C1014" s="302">
        <v>5.169966363139884</v>
      </c>
      <c r="D1014" s="302">
        <f t="shared" si="370"/>
        <v>9.1368427279625113</v>
      </c>
      <c r="E1014" s="303"/>
      <c r="F1014" s="302">
        <v>5.3682622259112449</v>
      </c>
      <c r="G1014" s="302">
        <v>6.2941023184349811</v>
      </c>
      <c r="H1014" s="302">
        <f t="shared" si="371"/>
        <v>11.662364544346225</v>
      </c>
      <c r="I1014" s="303"/>
      <c r="J1014" s="302">
        <v>6.321354118467494</v>
      </c>
      <c r="K1014" s="302">
        <v>6.9478390697330434</v>
      </c>
      <c r="L1014" s="302">
        <f t="shared" si="372"/>
        <v>13.269193188200537</v>
      </c>
      <c r="M1014" s="236"/>
      <c r="N1014" s="236"/>
    </row>
    <row r="1015" spans="1:14" x14ac:dyDescent="0.2">
      <c r="A1015" s="237" t="str">
        <f>name!E$7</f>
        <v>Administrative and secretarial occupations</v>
      </c>
      <c r="B1015" s="302">
        <v>4.5869895526780269</v>
      </c>
      <c r="C1015" s="302">
        <v>1.4007818989262033</v>
      </c>
      <c r="D1015" s="302">
        <f t="shared" si="370"/>
        <v>5.98777145160423</v>
      </c>
      <c r="E1015" s="303"/>
      <c r="F1015" s="302">
        <v>4.9479893990135402</v>
      </c>
      <c r="G1015" s="302">
        <v>1.5424695286232144</v>
      </c>
      <c r="H1015" s="302">
        <f t="shared" si="371"/>
        <v>6.4904589276367544</v>
      </c>
      <c r="I1015" s="303"/>
      <c r="J1015" s="302">
        <v>4.7758742250755919</v>
      </c>
      <c r="K1015" s="302">
        <v>1.7734528723956096</v>
      </c>
      <c r="L1015" s="302">
        <f t="shared" si="372"/>
        <v>6.5493270974712017</v>
      </c>
      <c r="M1015" s="236"/>
      <c r="N1015" s="236"/>
    </row>
    <row r="1016" spans="1:14" x14ac:dyDescent="0.2">
      <c r="A1016" s="237" t="str">
        <f>name!E$8</f>
        <v>Skilled trades occupations</v>
      </c>
      <c r="B1016" s="302">
        <v>0.34752989547603563</v>
      </c>
      <c r="C1016" s="302">
        <v>2.2632230932739281</v>
      </c>
      <c r="D1016" s="302">
        <f t="shared" si="370"/>
        <v>2.6107529887499639</v>
      </c>
      <c r="E1016" s="303"/>
      <c r="F1016" s="302">
        <v>0.44974126157205363</v>
      </c>
      <c r="G1016" s="302">
        <v>1.9115520508736161</v>
      </c>
      <c r="H1016" s="302">
        <f t="shared" si="371"/>
        <v>2.3612933124456696</v>
      </c>
      <c r="I1016" s="303"/>
      <c r="J1016" s="302">
        <v>0.61965877059372454</v>
      </c>
      <c r="K1016" s="302">
        <v>1.9157251272318041</v>
      </c>
      <c r="L1016" s="302">
        <f t="shared" si="372"/>
        <v>2.5353838978255285</v>
      </c>
      <c r="M1016" s="236"/>
      <c r="N1016" s="236"/>
    </row>
    <row r="1017" spans="1:14" x14ac:dyDescent="0.2">
      <c r="A1017" s="237" t="str">
        <f>name!E$9</f>
        <v>Caring, leisure and other service occupations</v>
      </c>
      <c r="B1017" s="302">
        <v>3.4685202131414674</v>
      </c>
      <c r="C1017" s="302">
        <v>1.5327385456253424</v>
      </c>
      <c r="D1017" s="302">
        <f t="shared" si="370"/>
        <v>5.0012587587668094</v>
      </c>
      <c r="E1017" s="303"/>
      <c r="F1017" s="302">
        <v>4.0786870734370266</v>
      </c>
      <c r="G1017" s="302">
        <v>1.7169318850320718</v>
      </c>
      <c r="H1017" s="302">
        <f t="shared" si="371"/>
        <v>5.7956189584690989</v>
      </c>
      <c r="I1017" s="303"/>
      <c r="J1017" s="302">
        <v>5.2259854186370109</v>
      </c>
      <c r="K1017" s="302">
        <v>2.3081953749736188</v>
      </c>
      <c r="L1017" s="302">
        <f t="shared" si="372"/>
        <v>7.5341807936106298</v>
      </c>
      <c r="M1017" s="236"/>
      <c r="N1017" s="236"/>
    </row>
    <row r="1018" spans="1:14" x14ac:dyDescent="0.2">
      <c r="A1018" s="237" t="str">
        <f>name!E$10</f>
        <v>Sales and customer service occupations</v>
      </c>
      <c r="B1018" s="302">
        <v>1.4459980416582898</v>
      </c>
      <c r="C1018" s="302">
        <v>1.8454625577247437</v>
      </c>
      <c r="D1018" s="302">
        <f t="shared" si="370"/>
        <v>3.2914605993830337</v>
      </c>
      <c r="E1018" s="303"/>
      <c r="F1018" s="302">
        <v>1.6223052449706465</v>
      </c>
      <c r="G1018" s="302">
        <v>1.7250122157336782</v>
      </c>
      <c r="H1018" s="302">
        <f t="shared" si="371"/>
        <v>3.3473174607043248</v>
      </c>
      <c r="I1018" s="303"/>
      <c r="J1018" s="302">
        <v>2.3539411861971842</v>
      </c>
      <c r="K1018" s="302">
        <v>2.2348966970932662</v>
      </c>
      <c r="L1018" s="302">
        <f t="shared" si="372"/>
        <v>4.5888378832904504</v>
      </c>
      <c r="M1018" s="236"/>
      <c r="N1018" s="236"/>
    </row>
    <row r="1019" spans="1:14" x14ac:dyDescent="0.2">
      <c r="A1019" s="237" t="str">
        <f>name!E$11</f>
        <v>Process, plant and machine operatives</v>
      </c>
      <c r="B1019" s="302">
        <v>0.49715458985261457</v>
      </c>
      <c r="C1019" s="302">
        <v>2.350241626007314</v>
      </c>
      <c r="D1019" s="302">
        <f t="shared" si="370"/>
        <v>2.8473962158599284</v>
      </c>
      <c r="E1019" s="303"/>
      <c r="F1019" s="302">
        <v>0.46032938666493134</v>
      </c>
      <c r="G1019" s="302">
        <v>2.0750012799599733</v>
      </c>
      <c r="H1019" s="302">
        <f t="shared" si="371"/>
        <v>2.5353306666249047</v>
      </c>
      <c r="I1019" s="303"/>
      <c r="J1019" s="302">
        <v>0.89551781116514306</v>
      </c>
      <c r="K1019" s="302">
        <v>2.4894994506840917</v>
      </c>
      <c r="L1019" s="302">
        <f t="shared" si="372"/>
        <v>3.3850172618492347</v>
      </c>
      <c r="M1019" s="236"/>
      <c r="N1019" s="236"/>
    </row>
    <row r="1020" spans="1:14" ht="13.5" customHeight="1" x14ac:dyDescent="0.2">
      <c r="A1020" s="237" t="str">
        <f>name!E$12</f>
        <v>Elementary occupations</v>
      </c>
      <c r="B1020" s="302">
        <v>7.3435724320181324</v>
      </c>
      <c r="C1020" s="302">
        <v>16.371694875426208</v>
      </c>
      <c r="D1020" s="302">
        <f t="shared" si="370"/>
        <v>23.715267307444339</v>
      </c>
      <c r="E1020" s="303"/>
      <c r="F1020" s="302">
        <v>7.0096329176145797</v>
      </c>
      <c r="G1020" s="302">
        <v>13.825306465930929</v>
      </c>
      <c r="H1020" s="302">
        <f t="shared" si="371"/>
        <v>20.83493938354551</v>
      </c>
      <c r="I1020" s="303"/>
      <c r="J1020" s="302">
        <v>8.2142008379186091</v>
      </c>
      <c r="K1020" s="302">
        <v>16.808819052468934</v>
      </c>
      <c r="L1020" s="302">
        <f t="shared" si="372"/>
        <v>25.023019890387545</v>
      </c>
      <c r="M1020" s="236"/>
      <c r="N1020" s="236"/>
    </row>
    <row r="1021" spans="1:14" ht="13.5" customHeight="1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2">
      <c r="A1022" s="244" t="s">
        <v>32</v>
      </c>
      <c r="B1022" s="311">
        <f>SUM(B1012:B1020)</f>
        <v>25.887999999920673</v>
      </c>
      <c r="C1022" s="311">
        <f t="shared" ref="C1022:D1022" si="373">SUM(C1012:C1020)</f>
        <v>37.461000000245747</v>
      </c>
      <c r="D1022" s="311">
        <f t="shared" si="373"/>
        <v>63.349000000166427</v>
      </c>
      <c r="E1022" s="311"/>
      <c r="F1022" s="311">
        <f t="shared" ref="F1022:H1022" si="374">SUM(F1012:F1020)</f>
        <v>30.021999999950623</v>
      </c>
      <c r="G1022" s="311">
        <f t="shared" si="374"/>
        <v>37.31700000028664</v>
      </c>
      <c r="H1022" s="311">
        <f t="shared" si="374"/>
        <v>67.339000000237263</v>
      </c>
      <c r="I1022" s="311"/>
      <c r="J1022" s="311">
        <f t="shared" ref="J1022:L1022" si="375">SUM(J1012:J1020)</f>
        <v>36.562999999880745</v>
      </c>
      <c r="K1022" s="311">
        <f t="shared" si="375"/>
        <v>45.195000000515307</v>
      </c>
      <c r="L1022" s="311">
        <f t="shared" si="375"/>
        <v>81.758000000396066</v>
      </c>
      <c r="M1022" s="236"/>
      <c r="N1022" s="236"/>
    </row>
    <row r="1023" spans="1:14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2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2">
      <c r="A1026" s="241" t="str">
        <f>name!A63</f>
        <v>Travel, etc</v>
      </c>
      <c r="B1026" s="372">
        <f>B$6</f>
        <v>2015</v>
      </c>
      <c r="C1026" s="372"/>
      <c r="D1026" s="372"/>
      <c r="E1026" s="253"/>
      <c r="F1026" s="372">
        <f>F$6</f>
        <v>2020</v>
      </c>
      <c r="G1026" s="372"/>
      <c r="H1026" s="372"/>
      <c r="I1026" s="253"/>
      <c r="J1026" s="372">
        <f>J$6</f>
        <v>2035</v>
      </c>
      <c r="K1026" s="372"/>
      <c r="L1026" s="372"/>
      <c r="M1026" s="236"/>
      <c r="N1026" s="236"/>
    </row>
    <row r="1027" spans="1:14" x14ac:dyDescent="0.2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2">
      <c r="A1029" s="237" t="str">
        <f>name!E$4</f>
        <v>Managers, directors and senior officials</v>
      </c>
      <c r="B1029" s="302">
        <v>0.30142628756862461</v>
      </c>
      <c r="C1029" s="302">
        <v>0.47767382683910731</v>
      </c>
      <c r="D1029" s="302">
        <f>SUM(B1029:C1029)</f>
        <v>0.77910011440773186</v>
      </c>
      <c r="E1029" s="303"/>
      <c r="F1029" s="302">
        <v>0.30600402224763806</v>
      </c>
      <c r="G1029" s="302">
        <v>0.35775109428174107</v>
      </c>
      <c r="H1029" s="302">
        <f>SUM(F1029:G1029)</f>
        <v>0.66375511652937913</v>
      </c>
      <c r="I1029" s="303"/>
      <c r="J1029" s="302">
        <v>0.40600692208500144</v>
      </c>
      <c r="K1029" s="302">
        <v>0.45802313214183177</v>
      </c>
      <c r="L1029" s="302">
        <f>SUM(J1029:K1029)</f>
        <v>0.86403005422683321</v>
      </c>
      <c r="M1029" s="236"/>
      <c r="N1029" s="236"/>
    </row>
    <row r="1030" spans="1:14" x14ac:dyDescent="0.2">
      <c r="A1030" s="237" t="str">
        <f>name!E$5</f>
        <v>Professional occupations</v>
      </c>
      <c r="B1030" s="302">
        <v>0.13975905893250196</v>
      </c>
      <c r="C1030" s="302">
        <v>0.3405919647958433</v>
      </c>
      <c r="D1030" s="302">
        <f t="shared" ref="D1030:D1037" si="376">SUM(B1030:C1030)</f>
        <v>0.48035102372834526</v>
      </c>
      <c r="E1030" s="303"/>
      <c r="F1030" s="302">
        <v>0.14339527139630978</v>
      </c>
      <c r="G1030" s="302">
        <v>0.27186948746443595</v>
      </c>
      <c r="H1030" s="302">
        <f t="shared" ref="H1030:H1037" si="377">SUM(F1030:G1030)</f>
        <v>0.41526475886074576</v>
      </c>
      <c r="I1030" s="303"/>
      <c r="J1030" s="302">
        <v>0.21226501836984896</v>
      </c>
      <c r="K1030" s="302">
        <v>0.41702821087936143</v>
      </c>
      <c r="L1030" s="302">
        <f t="shared" ref="L1030:L1037" si="378">SUM(J1030:K1030)</f>
        <v>0.62929322924921038</v>
      </c>
      <c r="M1030" s="236"/>
      <c r="N1030" s="236"/>
    </row>
    <row r="1031" spans="1:14" x14ac:dyDescent="0.2">
      <c r="A1031" s="237" t="str">
        <f>name!E$6</f>
        <v>Associate professional occupations</v>
      </c>
      <c r="B1031" s="302">
        <v>0.18328887646388342</v>
      </c>
      <c r="C1031" s="302">
        <v>0.3170968027688047</v>
      </c>
      <c r="D1031" s="302">
        <f t="shared" si="376"/>
        <v>0.50038567923268817</v>
      </c>
      <c r="E1031" s="303"/>
      <c r="F1031" s="302">
        <v>0.15762209239705177</v>
      </c>
      <c r="G1031" s="302">
        <v>0.22674192524919876</v>
      </c>
      <c r="H1031" s="302">
        <f t="shared" si="377"/>
        <v>0.3843640176462505</v>
      </c>
      <c r="I1031" s="303"/>
      <c r="J1031" s="302">
        <v>0.20041471701145866</v>
      </c>
      <c r="K1031" s="302">
        <v>0.26714732624485499</v>
      </c>
      <c r="L1031" s="302">
        <f t="shared" si="378"/>
        <v>0.46756204325631368</v>
      </c>
      <c r="M1031" s="236"/>
      <c r="N1031" s="236"/>
    </row>
    <row r="1032" spans="1:14" x14ac:dyDescent="0.2">
      <c r="A1032" s="237" t="str">
        <f>name!E$7</f>
        <v>Administrative and secretarial occupations</v>
      </c>
      <c r="B1032" s="302">
        <v>0.78429496745870941</v>
      </c>
      <c r="C1032" s="302">
        <v>0.34353820940446378</v>
      </c>
      <c r="D1032" s="302">
        <f t="shared" si="376"/>
        <v>1.1278331768631733</v>
      </c>
      <c r="E1032" s="303"/>
      <c r="F1032" s="302">
        <v>0.56464003682096509</v>
      </c>
      <c r="G1032" s="302">
        <v>0.22897760061530195</v>
      </c>
      <c r="H1032" s="302">
        <f t="shared" si="377"/>
        <v>0.79361763743626701</v>
      </c>
      <c r="I1032" s="303"/>
      <c r="J1032" s="302">
        <v>0.58139864446595568</v>
      </c>
      <c r="K1032" s="302">
        <v>0.27101599524512932</v>
      </c>
      <c r="L1032" s="302">
        <f t="shared" si="378"/>
        <v>0.852414639711085</v>
      </c>
      <c r="M1032" s="236"/>
      <c r="N1032" s="236"/>
    </row>
    <row r="1033" spans="1:14" x14ac:dyDescent="0.2">
      <c r="A1033" s="237" t="str">
        <f>name!E$8</f>
        <v>Skilled trades occupations</v>
      </c>
      <c r="B1033" s="302">
        <v>3.4736411005662146E-2</v>
      </c>
      <c r="C1033" s="302">
        <v>0.18060691828024505</v>
      </c>
      <c r="D1033" s="302">
        <f t="shared" si="376"/>
        <v>0.21534332928590721</v>
      </c>
      <c r="E1033" s="303"/>
      <c r="F1033" s="302">
        <v>3.2329986580865659E-2</v>
      </c>
      <c r="G1033" s="302">
        <v>8.1504514937241118E-2</v>
      </c>
      <c r="H1033" s="302">
        <f t="shared" si="377"/>
        <v>0.11383450151810678</v>
      </c>
      <c r="I1033" s="303"/>
      <c r="J1033" s="302">
        <v>7.3183045867149882E-2</v>
      </c>
      <c r="K1033" s="302">
        <v>0.10688275228620138</v>
      </c>
      <c r="L1033" s="302">
        <f t="shared" si="378"/>
        <v>0.18006579815335128</v>
      </c>
      <c r="M1033" s="236"/>
      <c r="N1033" s="236"/>
    </row>
    <row r="1034" spans="1:14" x14ac:dyDescent="0.2">
      <c r="A1034" s="237" t="str">
        <f>name!E$9</f>
        <v>Caring, leisure and other service occupations</v>
      </c>
      <c r="B1034" s="302">
        <v>1.2830721348331522</v>
      </c>
      <c r="C1034" s="302">
        <v>0.28306190322273567</v>
      </c>
      <c r="D1034" s="302">
        <f t="shared" si="376"/>
        <v>1.5661340380558879</v>
      </c>
      <c r="E1034" s="303"/>
      <c r="F1034" s="302">
        <v>0.88186720861866885</v>
      </c>
      <c r="G1034" s="302">
        <v>0.17461420694992894</v>
      </c>
      <c r="H1034" s="302">
        <f t="shared" si="377"/>
        <v>1.0564814155685978</v>
      </c>
      <c r="I1034" s="303"/>
      <c r="J1034" s="302">
        <v>0.96665074695105835</v>
      </c>
      <c r="K1034" s="302">
        <v>0.23854000162008809</v>
      </c>
      <c r="L1034" s="302">
        <f t="shared" si="378"/>
        <v>1.2051907485711464</v>
      </c>
      <c r="M1034" s="236"/>
      <c r="N1034" s="236"/>
    </row>
    <row r="1035" spans="1:14" x14ac:dyDescent="0.2">
      <c r="A1035" s="237" t="str">
        <f>name!E$10</f>
        <v>Sales and customer service occupations</v>
      </c>
      <c r="B1035" s="302">
        <v>0.2814528002724363</v>
      </c>
      <c r="C1035" s="302">
        <v>0.18193759401006707</v>
      </c>
      <c r="D1035" s="302">
        <f t="shared" si="376"/>
        <v>0.46339039428250339</v>
      </c>
      <c r="E1035" s="303"/>
      <c r="F1035" s="302">
        <v>0.19871644270343988</v>
      </c>
      <c r="G1035" s="302">
        <v>0.10498389307379871</v>
      </c>
      <c r="H1035" s="302">
        <f t="shared" si="377"/>
        <v>0.30370033577723859</v>
      </c>
      <c r="I1035" s="303"/>
      <c r="J1035" s="302">
        <v>0.27633021308213912</v>
      </c>
      <c r="K1035" s="302">
        <v>0.14719528862934408</v>
      </c>
      <c r="L1035" s="302">
        <f t="shared" si="378"/>
        <v>0.42352550171148318</v>
      </c>
      <c r="M1035" s="236"/>
      <c r="N1035" s="236"/>
    </row>
    <row r="1036" spans="1:14" x14ac:dyDescent="0.2">
      <c r="A1036" s="237" t="str">
        <f>name!E$11</f>
        <v>Process, plant and machine operatives</v>
      </c>
      <c r="B1036" s="302">
        <v>0.11027171426221474</v>
      </c>
      <c r="C1036" s="302">
        <v>0.7444933454758722</v>
      </c>
      <c r="D1036" s="302">
        <f t="shared" si="376"/>
        <v>0.85476505973808692</v>
      </c>
      <c r="E1036" s="303"/>
      <c r="F1036" s="302">
        <v>7.7848504183766445E-2</v>
      </c>
      <c r="G1036" s="302">
        <v>0.39981162254098679</v>
      </c>
      <c r="H1036" s="302">
        <f t="shared" si="377"/>
        <v>0.47766012672475322</v>
      </c>
      <c r="I1036" s="303"/>
      <c r="J1036" s="302">
        <v>0.17335508912376427</v>
      </c>
      <c r="K1036" s="302">
        <v>0.47437847149059964</v>
      </c>
      <c r="L1036" s="302">
        <f t="shared" si="378"/>
        <v>0.64773356061436393</v>
      </c>
      <c r="M1036" s="236"/>
      <c r="N1036" s="236"/>
    </row>
    <row r="1037" spans="1:14" x14ac:dyDescent="0.2">
      <c r="A1037" s="237" t="str">
        <f>name!E$12</f>
        <v>Elementary occupations</v>
      </c>
      <c r="B1037" s="302">
        <v>0.40469774919564272</v>
      </c>
      <c r="C1037" s="302">
        <v>0.81199943521817897</v>
      </c>
      <c r="D1037" s="302">
        <f t="shared" si="376"/>
        <v>1.2166971844138217</v>
      </c>
      <c r="E1037" s="303"/>
      <c r="F1037" s="302">
        <v>0.23257643503863284</v>
      </c>
      <c r="G1037" s="302">
        <v>0.36974565490170125</v>
      </c>
      <c r="H1037" s="302">
        <f t="shared" si="377"/>
        <v>0.60232208994033409</v>
      </c>
      <c r="I1037" s="303"/>
      <c r="J1037" s="302">
        <v>0.27639560301943633</v>
      </c>
      <c r="K1037" s="302">
        <v>0.30478882148618419</v>
      </c>
      <c r="L1037" s="302">
        <f t="shared" si="378"/>
        <v>0.58118442450562058</v>
      </c>
      <c r="M1037" s="236"/>
      <c r="N1037" s="236"/>
    </row>
    <row r="1038" spans="1:14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2">
      <c r="A1039" s="244" t="s">
        <v>32</v>
      </c>
      <c r="B1039" s="311">
        <f>SUM(B1029:B1037)</f>
        <v>3.5229999999928268</v>
      </c>
      <c r="C1039" s="311">
        <f t="shared" ref="C1039:D1039" si="379">SUM(C1029:C1037)</f>
        <v>3.681000000015318</v>
      </c>
      <c r="D1039" s="311">
        <f t="shared" si="379"/>
        <v>7.2040000000081452</v>
      </c>
      <c r="E1039" s="311"/>
      <c r="F1039" s="311">
        <f t="shared" ref="F1039:H1039" si="380">SUM(F1029:F1037)</f>
        <v>2.5949999999873388</v>
      </c>
      <c r="G1039" s="311">
        <f t="shared" si="380"/>
        <v>2.2160000000143349</v>
      </c>
      <c r="H1039" s="311">
        <f t="shared" si="380"/>
        <v>4.8110000000016733</v>
      </c>
      <c r="I1039" s="311"/>
      <c r="J1039" s="311">
        <f t="shared" ref="J1039:L1039" si="381">SUM(J1029:J1037)</f>
        <v>3.1659999999758126</v>
      </c>
      <c r="K1039" s="311">
        <f t="shared" si="381"/>
        <v>2.685000000023595</v>
      </c>
      <c r="L1039" s="311">
        <f t="shared" si="381"/>
        <v>5.8509999999994076</v>
      </c>
      <c r="M1039" s="236"/>
      <c r="N1039" s="236"/>
    </row>
    <row r="1040" spans="1:14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2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2">
      <c r="A1043" s="241" t="str">
        <f>name!A64</f>
        <v>Security, etc</v>
      </c>
      <c r="B1043" s="372">
        <f>B$6</f>
        <v>2015</v>
      </c>
      <c r="C1043" s="372"/>
      <c r="D1043" s="372"/>
      <c r="E1043" s="253"/>
      <c r="F1043" s="372">
        <f>F$6</f>
        <v>2020</v>
      </c>
      <c r="G1043" s="372"/>
      <c r="H1043" s="372"/>
      <c r="I1043" s="253"/>
      <c r="J1043" s="372">
        <f>J$6</f>
        <v>2035</v>
      </c>
      <c r="K1043" s="372"/>
      <c r="L1043" s="372"/>
      <c r="M1043" s="236"/>
      <c r="N1043" s="236"/>
    </row>
    <row r="1044" spans="1:14" x14ac:dyDescent="0.2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2">
      <c r="A1046" s="237" t="str">
        <f>name!E$4</f>
        <v>Managers, directors and senior officials</v>
      </c>
      <c r="B1046" s="302">
        <v>0.23351367372944667</v>
      </c>
      <c r="C1046" s="302">
        <v>0.95635600434746038</v>
      </c>
      <c r="D1046" s="302">
        <f>SUM(B1046:C1046)</f>
        <v>1.1898696780769071</v>
      </c>
      <c r="E1046" s="303"/>
      <c r="F1046" s="302">
        <v>0.32875314565278779</v>
      </c>
      <c r="G1046" s="302">
        <v>1.1983225304350464</v>
      </c>
      <c r="H1046" s="302">
        <f>SUM(F1046:G1046)</f>
        <v>1.5270756760878341</v>
      </c>
      <c r="I1046" s="303"/>
      <c r="J1046" s="302">
        <v>0.43465030538258598</v>
      </c>
      <c r="K1046" s="302">
        <v>1.503646357183662</v>
      </c>
      <c r="L1046" s="302">
        <f>SUM(J1046:K1046)</f>
        <v>1.9382966625662479</v>
      </c>
      <c r="M1046" s="236"/>
      <c r="N1046" s="236"/>
    </row>
    <row r="1047" spans="1:14" x14ac:dyDescent="0.2">
      <c r="A1047" s="237" t="str">
        <f>name!E$5</f>
        <v>Professional occupations</v>
      </c>
      <c r="B1047" s="302">
        <v>0.33705550907774545</v>
      </c>
      <c r="C1047" s="302">
        <v>0.86348666228981319</v>
      </c>
      <c r="D1047" s="302">
        <f t="shared" ref="D1047:D1054" si="382">SUM(B1047:C1047)</f>
        <v>1.2005421713675586</v>
      </c>
      <c r="E1047" s="303"/>
      <c r="F1047" s="302">
        <v>0.5143805567597477</v>
      </c>
      <c r="G1047" s="302">
        <v>1.1577484307883115</v>
      </c>
      <c r="H1047" s="302">
        <f t="shared" ref="H1047:H1054" si="383">SUM(F1047:G1047)</f>
        <v>1.6721289875480592</v>
      </c>
      <c r="I1047" s="303"/>
      <c r="J1047" s="302">
        <v>0.7011971683198569</v>
      </c>
      <c r="K1047" s="302">
        <v>1.5517061557539191</v>
      </c>
      <c r="L1047" s="302">
        <f t="shared" ref="L1047:L1054" si="384">SUM(J1047:K1047)</f>
        <v>2.2529033240737761</v>
      </c>
      <c r="M1047" s="236"/>
      <c r="N1047" s="236"/>
    </row>
    <row r="1048" spans="1:14" x14ac:dyDescent="0.2">
      <c r="A1048" s="237" t="str">
        <f>name!E$6</f>
        <v>Associate professional occupations</v>
      </c>
      <c r="B1048" s="302">
        <v>0.43912307052087785</v>
      </c>
      <c r="C1048" s="302">
        <v>1.390296883833174</v>
      </c>
      <c r="D1048" s="302">
        <f t="shared" si="382"/>
        <v>1.8294199543540519</v>
      </c>
      <c r="E1048" s="303"/>
      <c r="F1048" s="302">
        <v>0.6368135150029739</v>
      </c>
      <c r="G1048" s="302">
        <v>1.7382072695221609</v>
      </c>
      <c r="H1048" s="302">
        <f t="shared" si="383"/>
        <v>2.3750207845251348</v>
      </c>
      <c r="I1048" s="303"/>
      <c r="J1048" s="302">
        <v>0.75865673089007413</v>
      </c>
      <c r="K1048" s="302">
        <v>1.9194537697659793</v>
      </c>
      <c r="L1048" s="302">
        <f t="shared" si="384"/>
        <v>2.6781105006560533</v>
      </c>
      <c r="M1048" s="236"/>
      <c r="N1048" s="236"/>
    </row>
    <row r="1049" spans="1:14" x14ac:dyDescent="0.2">
      <c r="A1049" s="237" t="str">
        <f>name!E$7</f>
        <v>Administrative and secretarial occupations</v>
      </c>
      <c r="B1049" s="302">
        <v>0.60471335303966611</v>
      </c>
      <c r="C1049" s="302">
        <v>0.37047444241282695</v>
      </c>
      <c r="D1049" s="302">
        <f t="shared" si="382"/>
        <v>0.97518779545249301</v>
      </c>
      <c r="E1049" s="303"/>
      <c r="F1049" s="302">
        <v>0.69559796201403445</v>
      </c>
      <c r="G1049" s="302">
        <v>0.44544119746998251</v>
      </c>
      <c r="H1049" s="302">
        <f t="shared" si="383"/>
        <v>1.141039159484017</v>
      </c>
      <c r="I1049" s="303"/>
      <c r="J1049" s="302">
        <v>0.64064814644871215</v>
      </c>
      <c r="K1049" s="302">
        <v>0.51650488572741005</v>
      </c>
      <c r="L1049" s="302">
        <f t="shared" si="384"/>
        <v>1.1571530321761223</v>
      </c>
      <c r="M1049" s="236"/>
      <c r="N1049" s="236"/>
    </row>
    <row r="1050" spans="1:14" x14ac:dyDescent="0.2">
      <c r="A1050" s="237" t="str">
        <f>name!E$8</f>
        <v>Skilled trades occupations</v>
      </c>
      <c r="B1050" s="302">
        <v>3.521491506915006E-2</v>
      </c>
      <c r="C1050" s="302">
        <v>0.60482815882823082</v>
      </c>
      <c r="D1050" s="302">
        <f t="shared" si="382"/>
        <v>0.64004307389738091</v>
      </c>
      <c r="E1050" s="303"/>
      <c r="F1050" s="302">
        <v>4.8093455830820114E-2</v>
      </c>
      <c r="G1050" s="302">
        <v>0.54099272431930467</v>
      </c>
      <c r="H1050" s="302">
        <f t="shared" si="383"/>
        <v>0.58908618015012482</v>
      </c>
      <c r="I1050" s="303"/>
      <c r="J1050" s="302">
        <v>7.5562988901690956E-2</v>
      </c>
      <c r="K1050" s="302">
        <v>0.53435121487194603</v>
      </c>
      <c r="L1050" s="302">
        <f t="shared" si="384"/>
        <v>0.60991420377363703</v>
      </c>
      <c r="M1050" s="236"/>
      <c r="N1050" s="236"/>
    </row>
    <row r="1051" spans="1:14" x14ac:dyDescent="0.2">
      <c r="A1051" s="237" t="str">
        <f>name!E$9</f>
        <v>Caring, leisure and other service occupations</v>
      </c>
      <c r="B1051" s="302">
        <v>0.43713378857410884</v>
      </c>
      <c r="C1051" s="302">
        <v>0.38124874685450538</v>
      </c>
      <c r="D1051" s="302">
        <f t="shared" si="382"/>
        <v>0.81838253542861428</v>
      </c>
      <c r="E1051" s="303"/>
      <c r="F1051" s="302">
        <v>0.55323791828745339</v>
      </c>
      <c r="G1051" s="302">
        <v>0.48633396261350975</v>
      </c>
      <c r="H1051" s="302">
        <f t="shared" si="383"/>
        <v>1.0395718809009631</v>
      </c>
      <c r="I1051" s="303"/>
      <c r="J1051" s="302">
        <v>0.70296050262955112</v>
      </c>
      <c r="K1051" s="302">
        <v>0.66955274975571755</v>
      </c>
      <c r="L1051" s="302">
        <f t="shared" si="384"/>
        <v>1.3725132523852688</v>
      </c>
      <c r="M1051" s="236"/>
      <c r="N1051" s="236"/>
    </row>
    <row r="1052" spans="1:14" x14ac:dyDescent="0.2">
      <c r="A1052" s="237" t="str">
        <f>name!E$10</f>
        <v>Sales and customer service occupations</v>
      </c>
      <c r="B1052" s="302">
        <v>0.19942591487677905</v>
      </c>
      <c r="C1052" s="302">
        <v>0.46993692216491145</v>
      </c>
      <c r="D1052" s="302">
        <f t="shared" si="382"/>
        <v>0.66936283704169053</v>
      </c>
      <c r="E1052" s="303"/>
      <c r="F1052" s="302">
        <v>0.23812969781057078</v>
      </c>
      <c r="G1052" s="302">
        <v>0.4952035489424173</v>
      </c>
      <c r="H1052" s="302">
        <f t="shared" si="383"/>
        <v>0.73333324675298805</v>
      </c>
      <c r="I1052" s="303"/>
      <c r="J1052" s="302">
        <v>0.33911656171294091</v>
      </c>
      <c r="K1052" s="302">
        <v>0.64210402090974295</v>
      </c>
      <c r="L1052" s="302">
        <f t="shared" si="384"/>
        <v>0.98122058262268386</v>
      </c>
      <c r="M1052" s="236"/>
      <c r="N1052" s="236"/>
    </row>
    <row r="1053" spans="1:14" x14ac:dyDescent="0.2">
      <c r="A1053" s="237" t="str">
        <f>name!E$11</f>
        <v>Process, plant and machine operatives</v>
      </c>
      <c r="B1053" s="302">
        <v>8.3402647730953225E-2</v>
      </c>
      <c r="C1053" s="302">
        <v>0.64052285456180857</v>
      </c>
      <c r="D1053" s="302">
        <f t="shared" si="382"/>
        <v>0.72392550229276176</v>
      </c>
      <c r="E1053" s="303"/>
      <c r="F1053" s="302">
        <v>7.8220791600993836E-2</v>
      </c>
      <c r="G1053" s="302">
        <v>0.6069548878411577</v>
      </c>
      <c r="H1053" s="302">
        <f t="shared" si="383"/>
        <v>0.68517567944215152</v>
      </c>
      <c r="I1053" s="303"/>
      <c r="J1053" s="302">
        <v>0.14480046847515221</v>
      </c>
      <c r="K1053" s="302">
        <v>0.72016397488569595</v>
      </c>
      <c r="L1053" s="302">
        <f t="shared" si="384"/>
        <v>0.8649644433608481</v>
      </c>
      <c r="M1053" s="236"/>
      <c r="N1053" s="236"/>
    </row>
    <row r="1054" spans="1:14" x14ac:dyDescent="0.2">
      <c r="A1054" s="237" t="str">
        <f>name!E$12</f>
        <v>Elementary occupations</v>
      </c>
      <c r="B1054" s="302">
        <v>0.93741712736118954</v>
      </c>
      <c r="C1054" s="302">
        <v>4.3338493247680976</v>
      </c>
      <c r="D1054" s="302">
        <f t="shared" si="382"/>
        <v>5.2712664521292876</v>
      </c>
      <c r="E1054" s="303"/>
      <c r="F1054" s="302">
        <v>0.97977295704168321</v>
      </c>
      <c r="G1054" s="302">
        <v>4.0727954481523669</v>
      </c>
      <c r="H1054" s="302">
        <f t="shared" si="383"/>
        <v>5.0525684051940498</v>
      </c>
      <c r="I1054" s="303"/>
      <c r="J1054" s="302">
        <v>1.2194071272089364</v>
      </c>
      <c r="K1054" s="302">
        <v>4.9495168712959083</v>
      </c>
      <c r="L1054" s="302">
        <f t="shared" si="384"/>
        <v>6.1689239985048445</v>
      </c>
      <c r="M1054" s="236"/>
      <c r="N1054" s="236"/>
    </row>
    <row r="1055" spans="1:14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2">
      <c r="A1056" s="244" t="s">
        <v>32</v>
      </c>
      <c r="B1056" s="311">
        <f>SUM(B1046:B1054)</f>
        <v>3.3069999999799169</v>
      </c>
      <c r="C1056" s="311">
        <f t="shared" ref="C1056:D1056" si="385">SUM(C1046:C1054)</f>
        <v>10.011000000060829</v>
      </c>
      <c r="D1056" s="311">
        <f t="shared" si="385"/>
        <v>13.318000000040746</v>
      </c>
      <c r="E1056" s="311"/>
      <c r="F1056" s="311">
        <f t="shared" ref="F1056:H1056" si="386">SUM(F1046:F1054)</f>
        <v>4.0730000000010653</v>
      </c>
      <c r="G1056" s="311">
        <f t="shared" si="386"/>
        <v>10.742000000084257</v>
      </c>
      <c r="H1056" s="311">
        <f t="shared" si="386"/>
        <v>14.815000000085323</v>
      </c>
      <c r="I1056" s="311"/>
      <c r="J1056" s="311">
        <f t="shared" ref="J1056:L1056" si="387">SUM(J1046:J1054)</f>
        <v>5.0169999999695003</v>
      </c>
      <c r="K1056" s="311">
        <f t="shared" si="387"/>
        <v>13.007000000149983</v>
      </c>
      <c r="L1056" s="311">
        <f t="shared" si="387"/>
        <v>18.024000000119482</v>
      </c>
      <c r="M1056" s="236"/>
      <c r="N1056" s="236"/>
    </row>
    <row r="1057" spans="1:14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2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2">
      <c r="A1060" s="241" t="str">
        <f>name!A65</f>
        <v>Services to buildings</v>
      </c>
      <c r="B1060" s="372">
        <f>B$6</f>
        <v>2015</v>
      </c>
      <c r="C1060" s="372"/>
      <c r="D1060" s="372"/>
      <c r="E1060" s="253"/>
      <c r="F1060" s="372">
        <f>F$6</f>
        <v>2020</v>
      </c>
      <c r="G1060" s="372"/>
      <c r="H1060" s="372"/>
      <c r="I1060" s="253"/>
      <c r="J1060" s="372">
        <f>J$6</f>
        <v>2035</v>
      </c>
      <c r="K1060" s="372"/>
      <c r="L1060" s="372"/>
      <c r="M1060" s="236"/>
      <c r="N1060" s="236"/>
    </row>
    <row r="1061" spans="1:14" x14ac:dyDescent="0.2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2">
      <c r="A1063" s="237" t="str">
        <f>name!E$4</f>
        <v>Managers, directors and senior officials</v>
      </c>
      <c r="B1063" s="302">
        <v>2.385493201230894</v>
      </c>
      <c r="C1063" s="302">
        <v>2.2677110397389244</v>
      </c>
      <c r="D1063" s="302">
        <f>SUM(B1063:C1063)</f>
        <v>4.6532042409698189</v>
      </c>
      <c r="E1063" s="303"/>
      <c r="F1063" s="302">
        <v>3.364983469891873</v>
      </c>
      <c r="G1063" s="302">
        <v>2.7360705115414219</v>
      </c>
      <c r="H1063" s="302">
        <f>SUM(F1063:G1063)</f>
        <v>6.1010539814332949</v>
      </c>
      <c r="I1063" s="303"/>
      <c r="J1063" s="302">
        <v>4.0746837735799835</v>
      </c>
      <c r="K1063" s="302">
        <v>3.7469553006788345</v>
      </c>
      <c r="L1063" s="302">
        <f>SUM(J1063:K1063)</f>
        <v>7.821639074258818</v>
      </c>
      <c r="M1063" s="236"/>
      <c r="N1063" s="236"/>
    </row>
    <row r="1064" spans="1:14" x14ac:dyDescent="0.2">
      <c r="A1064" s="237" t="str">
        <f>name!E$5</f>
        <v>Professional occupations</v>
      </c>
      <c r="B1064" s="302">
        <v>3.8645614382283084</v>
      </c>
      <c r="C1064" s="302">
        <v>1.741857228062728</v>
      </c>
      <c r="D1064" s="302">
        <f t="shared" ref="D1064:D1071" si="388">SUM(B1064:C1064)</f>
        <v>5.6064186662910362</v>
      </c>
      <c r="E1064" s="303"/>
      <c r="F1064" s="302">
        <v>5.0810264642126546</v>
      </c>
      <c r="G1064" s="302">
        <v>2.2809148559528971</v>
      </c>
      <c r="H1064" s="302">
        <f t="shared" ref="H1064:H1071" si="389">SUM(F1064:G1064)</f>
        <v>7.3619413201655517</v>
      </c>
      <c r="I1064" s="303"/>
      <c r="J1064" s="302">
        <v>6.6588008344368506</v>
      </c>
      <c r="K1064" s="302">
        <v>3.1243240187996371</v>
      </c>
      <c r="L1064" s="302">
        <f t="shared" ref="L1064:L1071" si="390">SUM(J1064:K1064)</f>
        <v>9.7831248532364867</v>
      </c>
      <c r="M1064" s="236"/>
      <c r="N1064" s="236"/>
    </row>
    <row r="1065" spans="1:14" x14ac:dyDescent="0.2">
      <c r="A1065" s="237" t="str">
        <f>name!E$6</f>
        <v>Associate professional occupations</v>
      </c>
      <c r="B1065" s="302">
        <v>4.2743592137707109</v>
      </c>
      <c r="C1065" s="302">
        <v>2.4491815670999286</v>
      </c>
      <c r="D1065" s="302">
        <f t="shared" si="388"/>
        <v>6.7235407808706391</v>
      </c>
      <c r="E1065" s="303"/>
      <c r="F1065" s="302">
        <v>5.3593553594504524</v>
      </c>
      <c r="G1065" s="302">
        <v>2.8842278368976086</v>
      </c>
      <c r="H1065" s="302">
        <f t="shared" si="389"/>
        <v>8.2435831963480606</v>
      </c>
      <c r="I1065" s="303"/>
      <c r="J1065" s="302">
        <v>6.5711768965810808</v>
      </c>
      <c r="K1065" s="302">
        <v>3.1217089931902655</v>
      </c>
      <c r="L1065" s="302">
        <f t="shared" si="390"/>
        <v>9.6928858897713468</v>
      </c>
      <c r="M1065" s="236"/>
      <c r="N1065" s="236"/>
    </row>
    <row r="1066" spans="1:14" x14ac:dyDescent="0.2">
      <c r="A1066" s="237" t="str">
        <f>name!E$7</f>
        <v>Administrative and secretarial occupations</v>
      </c>
      <c r="B1066" s="302">
        <v>8.4066462853490744</v>
      </c>
      <c r="C1066" s="302">
        <v>0.76795636702408465</v>
      </c>
      <c r="D1066" s="302">
        <f t="shared" si="388"/>
        <v>9.1746026523731583</v>
      </c>
      <c r="E1066" s="303"/>
      <c r="F1066" s="302">
        <v>8.596859569023902</v>
      </c>
      <c r="G1066" s="302">
        <v>0.78356638163700687</v>
      </c>
      <c r="H1066" s="302">
        <f t="shared" si="389"/>
        <v>9.3804259506609089</v>
      </c>
      <c r="I1066" s="303"/>
      <c r="J1066" s="302">
        <v>9.8462979294027928</v>
      </c>
      <c r="K1066" s="302">
        <v>0.8975717561886456</v>
      </c>
      <c r="L1066" s="302">
        <f t="shared" si="390"/>
        <v>10.743869685591438</v>
      </c>
      <c r="M1066" s="236"/>
      <c r="N1066" s="236"/>
    </row>
    <row r="1067" spans="1:14" x14ac:dyDescent="0.2">
      <c r="A1067" s="237" t="str">
        <f>name!E$8</f>
        <v>Skilled trades occupations</v>
      </c>
      <c r="B1067" s="302">
        <v>0.55521397421978613</v>
      </c>
      <c r="C1067" s="302">
        <v>1.5247681319443844</v>
      </c>
      <c r="D1067" s="302">
        <f t="shared" si="388"/>
        <v>2.0799821061641706</v>
      </c>
      <c r="E1067" s="303"/>
      <c r="F1067" s="302">
        <v>0.70696401391999486</v>
      </c>
      <c r="G1067" s="302">
        <v>1.2963374555970837</v>
      </c>
      <c r="H1067" s="302">
        <f t="shared" si="389"/>
        <v>2.0033014695170785</v>
      </c>
      <c r="I1067" s="303"/>
      <c r="J1067" s="302">
        <v>1.2873565161042571</v>
      </c>
      <c r="K1067" s="302">
        <v>1.3952667464731021</v>
      </c>
      <c r="L1067" s="302">
        <f t="shared" si="390"/>
        <v>2.6826232625773594</v>
      </c>
      <c r="M1067" s="236"/>
      <c r="N1067" s="236"/>
    </row>
    <row r="1068" spans="1:14" x14ac:dyDescent="0.2">
      <c r="A1068" s="237" t="str">
        <f>name!E$9</f>
        <v>Caring, leisure and other service occupations</v>
      </c>
      <c r="B1068" s="302">
        <v>5.195553782589247</v>
      </c>
      <c r="C1068" s="302">
        <v>0.8143534689850308</v>
      </c>
      <c r="D1068" s="302">
        <f t="shared" si="388"/>
        <v>6.009907251574278</v>
      </c>
      <c r="E1068" s="303"/>
      <c r="F1068" s="302">
        <v>5.3625021200599017</v>
      </c>
      <c r="G1068" s="302">
        <v>0.88347749667830699</v>
      </c>
      <c r="H1068" s="302">
        <f t="shared" si="389"/>
        <v>6.2459796167382091</v>
      </c>
      <c r="I1068" s="303"/>
      <c r="J1068" s="302">
        <v>6.4293193520562193</v>
      </c>
      <c r="K1068" s="302">
        <v>1.2220579033046284</v>
      </c>
      <c r="L1068" s="302">
        <f t="shared" si="390"/>
        <v>7.6513772553608472</v>
      </c>
      <c r="M1068" s="236"/>
      <c r="N1068" s="236"/>
    </row>
    <row r="1069" spans="1:14" x14ac:dyDescent="0.2">
      <c r="A1069" s="237" t="str">
        <f>name!E$10</f>
        <v>Sales and customer service occupations</v>
      </c>
      <c r="B1069" s="302">
        <v>2.7544748398486201</v>
      </c>
      <c r="C1069" s="302">
        <v>1.1967974582551297</v>
      </c>
      <c r="D1069" s="302">
        <f t="shared" si="388"/>
        <v>3.95127229810375</v>
      </c>
      <c r="E1069" s="303"/>
      <c r="F1069" s="302">
        <v>2.8871806369351836</v>
      </c>
      <c r="G1069" s="302">
        <v>1.0352892922340959</v>
      </c>
      <c r="H1069" s="302">
        <f t="shared" si="389"/>
        <v>3.9224699291692797</v>
      </c>
      <c r="I1069" s="303"/>
      <c r="J1069" s="302">
        <v>4.3337998239112752</v>
      </c>
      <c r="K1069" s="302">
        <v>1.3382602937151737</v>
      </c>
      <c r="L1069" s="302">
        <f t="shared" si="390"/>
        <v>5.6720601176264491</v>
      </c>
      <c r="M1069" s="236"/>
      <c r="N1069" s="236"/>
    </row>
    <row r="1070" spans="1:14" x14ac:dyDescent="0.2">
      <c r="A1070" s="237" t="str">
        <f>name!E$11</f>
        <v>Process, plant and machine operatives</v>
      </c>
      <c r="B1070" s="302">
        <v>0.50241291021892232</v>
      </c>
      <c r="C1070" s="302">
        <v>1.0739677707581619</v>
      </c>
      <c r="D1070" s="302">
        <f t="shared" si="388"/>
        <v>1.5763806809770842</v>
      </c>
      <c r="E1070" s="303"/>
      <c r="F1070" s="302">
        <v>0.45200334829970717</v>
      </c>
      <c r="G1070" s="302">
        <v>0.91032093554128246</v>
      </c>
      <c r="H1070" s="302">
        <f t="shared" si="389"/>
        <v>1.3623242838409897</v>
      </c>
      <c r="I1070" s="303"/>
      <c r="J1070" s="302">
        <v>0.96972405069616474</v>
      </c>
      <c r="K1070" s="302">
        <v>1.0524385400150118</v>
      </c>
      <c r="L1070" s="302">
        <f t="shared" si="390"/>
        <v>2.0221625907111767</v>
      </c>
      <c r="M1070" s="236"/>
      <c r="N1070" s="236"/>
    </row>
    <row r="1071" spans="1:14" x14ac:dyDescent="0.2">
      <c r="A1071" s="237" t="str">
        <f>name!E$12</f>
        <v>Elementary occupations</v>
      </c>
      <c r="B1071" s="302">
        <v>9.2162843544011963</v>
      </c>
      <c r="C1071" s="302">
        <v>7.3354069682428067</v>
      </c>
      <c r="D1071" s="302">
        <f t="shared" si="388"/>
        <v>16.551691322644004</v>
      </c>
      <c r="E1071" s="303"/>
      <c r="F1071" s="302">
        <v>7.7891250182189271</v>
      </c>
      <c r="G1071" s="302">
        <v>5.6447952340254277</v>
      </c>
      <c r="H1071" s="302">
        <f t="shared" si="389"/>
        <v>13.433920252244356</v>
      </c>
      <c r="I1071" s="303"/>
      <c r="J1071" s="302">
        <v>7.2278408231275346</v>
      </c>
      <c r="K1071" s="302">
        <v>6.4224164478205061</v>
      </c>
      <c r="L1071" s="302">
        <f t="shared" si="390"/>
        <v>13.650257270948041</v>
      </c>
      <c r="M1071" s="236"/>
      <c r="N1071" s="236"/>
    </row>
    <row r="1072" spans="1:14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2">
      <c r="A1073" s="244" t="s">
        <v>32</v>
      </c>
      <c r="B1073" s="311">
        <f>SUM(B1063:B1071)</f>
        <v>37.154999999856756</v>
      </c>
      <c r="C1073" s="311">
        <f t="shared" ref="C1073:D1073" si="391">SUM(C1063:C1071)</f>
        <v>19.172000000111183</v>
      </c>
      <c r="D1073" s="311">
        <f t="shared" si="391"/>
        <v>56.326999999967938</v>
      </c>
      <c r="E1073" s="311"/>
      <c r="F1073" s="311">
        <f t="shared" ref="F1073:H1073" si="392">SUM(F1063:F1071)</f>
        <v>39.600000000012599</v>
      </c>
      <c r="G1073" s="311">
        <f t="shared" si="392"/>
        <v>18.45500000010513</v>
      </c>
      <c r="H1073" s="311">
        <f t="shared" si="392"/>
        <v>58.05500000011773</v>
      </c>
      <c r="I1073" s="311"/>
      <c r="J1073" s="311">
        <f t="shared" ref="J1073:L1073" si="393">SUM(J1063:J1071)</f>
        <v>47.398999999896169</v>
      </c>
      <c r="K1073" s="311">
        <f t="shared" si="393"/>
        <v>22.321000000185805</v>
      </c>
      <c r="L1073" s="311">
        <f t="shared" si="393"/>
        <v>69.720000000081967</v>
      </c>
      <c r="M1073" s="236"/>
      <c r="N1073" s="236"/>
    </row>
    <row r="1074" spans="1:14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2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2">
      <c r="A1077" s="241" t="str">
        <f>name!A66</f>
        <v>Office administrative</v>
      </c>
      <c r="B1077" s="372">
        <f>B$6</f>
        <v>2015</v>
      </c>
      <c r="C1077" s="372"/>
      <c r="D1077" s="372"/>
      <c r="E1077" s="253"/>
      <c r="F1077" s="372">
        <f>F$6</f>
        <v>2020</v>
      </c>
      <c r="G1077" s="372"/>
      <c r="H1077" s="372"/>
      <c r="I1077" s="253"/>
      <c r="J1077" s="372">
        <f>J$6</f>
        <v>2035</v>
      </c>
      <c r="K1077" s="372"/>
      <c r="L1077" s="372"/>
      <c r="M1077" s="236"/>
      <c r="N1077" s="236"/>
    </row>
    <row r="1078" spans="1:14" x14ac:dyDescent="0.2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2">
      <c r="A1080" s="237" t="str">
        <f>name!E$4</f>
        <v>Managers, directors and senior officials</v>
      </c>
      <c r="B1080" s="302">
        <v>0.88968003309838739</v>
      </c>
      <c r="C1080" s="302">
        <v>3.0088792470610759</v>
      </c>
      <c r="D1080" s="302">
        <f>SUM(B1080:C1080)</f>
        <v>3.8985592801594633</v>
      </c>
      <c r="E1080" s="303"/>
      <c r="F1080" s="302">
        <v>1.0109272924460007</v>
      </c>
      <c r="G1080" s="302">
        <v>2.785479344288825</v>
      </c>
      <c r="H1080" s="302">
        <f>SUM(F1080:G1080)</f>
        <v>3.7964066367348259</v>
      </c>
      <c r="I1080" s="303"/>
      <c r="J1080" s="302">
        <v>1.2539091675680187</v>
      </c>
      <c r="K1080" s="302">
        <v>3.4680409237915084</v>
      </c>
      <c r="L1080" s="302">
        <f>SUM(J1080:K1080)</f>
        <v>4.7219500913595276</v>
      </c>
      <c r="M1080" s="236"/>
      <c r="N1080" s="236"/>
    </row>
    <row r="1081" spans="1:14" x14ac:dyDescent="0.2">
      <c r="A1081" s="237" t="str">
        <f>name!E$5</f>
        <v>Professional occupations</v>
      </c>
      <c r="B1081" s="302">
        <v>1.3815294146040626</v>
      </c>
      <c r="C1081" s="302">
        <v>2.7818250142923318</v>
      </c>
      <c r="D1081" s="302">
        <f t="shared" ref="D1081:D1088" si="394">SUM(B1081:C1081)</f>
        <v>4.163354428896394</v>
      </c>
      <c r="E1081" s="303"/>
      <c r="F1081" s="302">
        <v>1.5531263487637015</v>
      </c>
      <c r="G1081" s="302">
        <v>2.8032406667661909</v>
      </c>
      <c r="H1081" s="302">
        <f t="shared" ref="H1081:H1088" si="395">SUM(F1081:G1081)</f>
        <v>4.3563670155298926</v>
      </c>
      <c r="I1081" s="303"/>
      <c r="J1081" s="302">
        <v>2.0382129746291548</v>
      </c>
      <c r="K1081" s="302">
        <v>3.8352643259203378</v>
      </c>
      <c r="L1081" s="302">
        <f t="shared" ref="L1081:L1088" si="396">SUM(J1081:K1081)</f>
        <v>5.8734773005494922</v>
      </c>
      <c r="M1081" s="236"/>
      <c r="N1081" s="236"/>
    </row>
    <row r="1082" spans="1:14" x14ac:dyDescent="0.2">
      <c r="A1082" s="237" t="str">
        <f>name!E$6</f>
        <v>Associate professional occupations</v>
      </c>
      <c r="B1082" s="302">
        <v>2.1809960840108604</v>
      </c>
      <c r="C1082" s="302">
        <v>4.3378708292374029</v>
      </c>
      <c r="D1082" s="302">
        <f t="shared" si="394"/>
        <v>6.5188669132482637</v>
      </c>
      <c r="E1082" s="303"/>
      <c r="F1082" s="302">
        <v>2.3784699308677304</v>
      </c>
      <c r="G1082" s="302">
        <v>4.0238728428833985</v>
      </c>
      <c r="H1082" s="302">
        <f t="shared" si="395"/>
        <v>6.4023427737511289</v>
      </c>
      <c r="I1082" s="303"/>
      <c r="J1082" s="302">
        <v>2.8198530286473678</v>
      </c>
      <c r="K1082" s="302">
        <v>4.4527814591050205</v>
      </c>
      <c r="L1082" s="302">
        <f t="shared" si="396"/>
        <v>7.2726344877523879</v>
      </c>
      <c r="M1082" s="236"/>
      <c r="N1082" s="236"/>
    </row>
    <row r="1083" spans="1:14" x14ac:dyDescent="0.2">
      <c r="A1083" s="237" t="str">
        <f>name!E$7</f>
        <v>Administrative and secretarial occupations</v>
      </c>
      <c r="B1083" s="302">
        <v>2.5226574852671546</v>
      </c>
      <c r="C1083" s="302">
        <v>1.1874324614776903</v>
      </c>
      <c r="D1083" s="302">
        <f t="shared" si="394"/>
        <v>3.7100899467448452</v>
      </c>
      <c r="E1083" s="303"/>
      <c r="F1083" s="302">
        <v>2.1626995691852611</v>
      </c>
      <c r="G1083" s="302">
        <v>1.0239792665553331</v>
      </c>
      <c r="H1083" s="302">
        <f t="shared" si="395"/>
        <v>3.1866788357405942</v>
      </c>
      <c r="I1083" s="303"/>
      <c r="J1083" s="302">
        <v>2.1046098132992945</v>
      </c>
      <c r="K1083" s="302">
        <v>1.201158173153311</v>
      </c>
      <c r="L1083" s="302">
        <f t="shared" si="396"/>
        <v>3.3057679864526053</v>
      </c>
      <c r="M1083" s="236"/>
      <c r="N1083" s="236"/>
    </row>
    <row r="1084" spans="1:14" x14ac:dyDescent="0.2">
      <c r="A1084" s="237" t="str">
        <f>name!E$8</f>
        <v>Skilled trades occupations</v>
      </c>
      <c r="B1084" s="302">
        <v>0.16623293350434737</v>
      </c>
      <c r="C1084" s="302">
        <v>1.7928389847993358</v>
      </c>
      <c r="D1084" s="302">
        <f t="shared" si="394"/>
        <v>1.9590719183036831</v>
      </c>
      <c r="E1084" s="303"/>
      <c r="F1084" s="302">
        <v>0.1805644378150664</v>
      </c>
      <c r="G1084" s="302">
        <v>1.165943084576589</v>
      </c>
      <c r="H1084" s="302">
        <f t="shared" si="395"/>
        <v>1.3465075223916554</v>
      </c>
      <c r="I1084" s="303"/>
      <c r="J1084" s="302">
        <v>0.28056514439436747</v>
      </c>
      <c r="K1084" s="302">
        <v>1.1681090087302151</v>
      </c>
      <c r="L1084" s="302">
        <f t="shared" si="396"/>
        <v>1.4486741531245826</v>
      </c>
      <c r="M1084" s="236"/>
      <c r="N1084" s="236"/>
    </row>
    <row r="1085" spans="1:14" x14ac:dyDescent="0.2">
      <c r="A1085" s="237" t="str">
        <f>name!E$9</f>
        <v>Caring, leisure and other service occupations</v>
      </c>
      <c r="B1085" s="302">
        <v>2.018487005974543</v>
      </c>
      <c r="C1085" s="302">
        <v>1.1767003350810914</v>
      </c>
      <c r="D1085" s="302">
        <f t="shared" si="394"/>
        <v>3.1951873410556342</v>
      </c>
      <c r="E1085" s="303"/>
      <c r="F1085" s="302">
        <v>1.9717508306876277</v>
      </c>
      <c r="G1085" s="302">
        <v>1.0506547910294468</v>
      </c>
      <c r="H1085" s="302">
        <f t="shared" si="395"/>
        <v>3.0224056217170743</v>
      </c>
      <c r="I1085" s="303"/>
      <c r="J1085" s="302">
        <v>2.4016825403431152</v>
      </c>
      <c r="K1085" s="302">
        <v>1.4312293333333437</v>
      </c>
      <c r="L1085" s="302">
        <f t="shared" si="396"/>
        <v>3.8329118736764589</v>
      </c>
      <c r="M1085" s="236"/>
      <c r="N1085" s="236"/>
    </row>
    <row r="1086" spans="1:14" x14ac:dyDescent="0.2">
      <c r="A1086" s="237" t="str">
        <f>name!E$10</f>
        <v>Sales and customer service occupations</v>
      </c>
      <c r="B1086" s="302">
        <v>0.79864235594541721</v>
      </c>
      <c r="C1086" s="302">
        <v>1.480295690982621</v>
      </c>
      <c r="D1086" s="302">
        <f t="shared" si="394"/>
        <v>2.2789380469280385</v>
      </c>
      <c r="E1086" s="303"/>
      <c r="F1086" s="302">
        <v>0.69928846049754612</v>
      </c>
      <c r="G1086" s="302">
        <v>1.0977314491157655</v>
      </c>
      <c r="H1086" s="302">
        <f t="shared" si="395"/>
        <v>1.7970199096133115</v>
      </c>
      <c r="I1086" s="303"/>
      <c r="J1086" s="302">
        <v>1.0126489940764223</v>
      </c>
      <c r="K1086" s="302">
        <v>1.4260495392052859</v>
      </c>
      <c r="L1086" s="302">
        <f t="shared" si="396"/>
        <v>2.4386985332817082</v>
      </c>
      <c r="M1086" s="236"/>
      <c r="N1086" s="236"/>
    </row>
    <row r="1087" spans="1:14" x14ac:dyDescent="0.2">
      <c r="A1087" s="237" t="str">
        <f>name!E$11</f>
        <v>Process, plant and machine operatives</v>
      </c>
      <c r="B1087" s="302">
        <v>0.30369270202323018</v>
      </c>
      <c r="C1087" s="302">
        <v>2.1170612003487199</v>
      </c>
      <c r="D1087" s="302">
        <f t="shared" si="394"/>
        <v>2.42075390237195</v>
      </c>
      <c r="E1087" s="303"/>
      <c r="F1087" s="302">
        <v>0.22689757365691332</v>
      </c>
      <c r="G1087" s="302">
        <v>1.4344677715831988</v>
      </c>
      <c r="H1087" s="302">
        <f t="shared" si="395"/>
        <v>1.661365345240112</v>
      </c>
      <c r="I1087" s="303"/>
      <c r="J1087" s="302">
        <v>0.44346439357952272</v>
      </c>
      <c r="K1087" s="302">
        <v>1.6926173221609786</v>
      </c>
      <c r="L1087" s="302">
        <f t="shared" si="396"/>
        <v>2.1360817157405014</v>
      </c>
      <c r="M1087" s="236"/>
      <c r="N1087" s="236"/>
    </row>
    <row r="1088" spans="1:14" x14ac:dyDescent="0.2">
      <c r="A1088" s="237" t="str">
        <f>name!E$12</f>
        <v>Elementary occupations</v>
      </c>
      <c r="B1088" s="302">
        <v>4.7880819855373913</v>
      </c>
      <c r="C1088" s="302">
        <v>14.000096236895534</v>
      </c>
      <c r="D1088" s="302">
        <f t="shared" si="394"/>
        <v>18.788178222432926</v>
      </c>
      <c r="E1088" s="303"/>
      <c r="F1088" s="302">
        <v>3.624275556046499</v>
      </c>
      <c r="G1088" s="302">
        <v>9.3176307833826701</v>
      </c>
      <c r="H1088" s="302">
        <f t="shared" si="395"/>
        <v>12.941906339429169</v>
      </c>
      <c r="I1088" s="303"/>
      <c r="J1088" s="302">
        <v>4.4820539433931819</v>
      </c>
      <c r="K1088" s="302">
        <v>11.271749914919585</v>
      </c>
      <c r="L1088" s="302">
        <f t="shared" si="396"/>
        <v>15.753803858312768</v>
      </c>
      <c r="M1088" s="236"/>
      <c r="N1088" s="236"/>
    </row>
    <row r="1089" spans="1:14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2">
      <c r="A1090" s="244" t="s">
        <v>32</v>
      </c>
      <c r="B1090" s="311">
        <f>SUM(B1080:B1088)</f>
        <v>15.049999999965397</v>
      </c>
      <c r="C1090" s="311">
        <f t="shared" ref="C1090:D1090" si="397">SUM(C1080:C1088)</f>
        <v>31.883000000175802</v>
      </c>
      <c r="D1090" s="311">
        <f t="shared" si="397"/>
        <v>46.933000000141199</v>
      </c>
      <c r="E1090" s="311"/>
      <c r="F1090" s="311">
        <f t="shared" ref="F1090:H1090" si="398">SUM(F1080:F1088)</f>
        <v>13.807999999966345</v>
      </c>
      <c r="G1090" s="311">
        <f t="shared" si="398"/>
        <v>24.703000000181419</v>
      </c>
      <c r="H1090" s="311">
        <f t="shared" si="398"/>
        <v>38.51100000014776</v>
      </c>
      <c r="I1090" s="311"/>
      <c r="J1090" s="311">
        <f t="shared" ref="J1090:L1090" si="399">SUM(J1080:J1088)</f>
        <v>16.836999999930445</v>
      </c>
      <c r="K1090" s="311">
        <f t="shared" si="399"/>
        <v>29.947000000319584</v>
      </c>
      <c r="L1090" s="311">
        <f t="shared" si="399"/>
        <v>46.784000000250032</v>
      </c>
      <c r="M1090" s="236"/>
      <c r="N1090" s="236"/>
    </row>
    <row r="1091" spans="1:14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2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2">
      <c r="A1094" s="241" t="str">
        <f>name!A67</f>
        <v>Public administration and defence</v>
      </c>
      <c r="B1094" s="372">
        <f>B$6</f>
        <v>2015</v>
      </c>
      <c r="C1094" s="372"/>
      <c r="D1094" s="372"/>
      <c r="E1094" s="253"/>
      <c r="F1094" s="372">
        <f>F$6</f>
        <v>2020</v>
      </c>
      <c r="G1094" s="372"/>
      <c r="H1094" s="372"/>
      <c r="I1094" s="253"/>
      <c r="J1094" s="372">
        <f>J$6</f>
        <v>2035</v>
      </c>
      <c r="K1094" s="372"/>
      <c r="L1094" s="372"/>
      <c r="M1094" s="236"/>
      <c r="N1094" s="236"/>
    </row>
    <row r="1095" spans="1:14" x14ac:dyDescent="0.2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2">
      <c r="A1097" s="237" t="str">
        <f>name!E$4</f>
        <v>Managers, directors and senior officials</v>
      </c>
      <c r="B1097" s="302">
        <v>3.057040273783342</v>
      </c>
      <c r="C1097" s="302">
        <v>6.0469583183628002</v>
      </c>
      <c r="D1097" s="302">
        <f>SUM(B1097:C1097)</f>
        <v>9.1039985921461426</v>
      </c>
      <c r="E1097" s="303"/>
      <c r="F1097" s="302">
        <v>3.837689132706255</v>
      </c>
      <c r="G1097" s="302">
        <v>6.9188208968858795</v>
      </c>
      <c r="H1097" s="302">
        <f>SUM(F1097:G1097)</f>
        <v>10.756510029592135</v>
      </c>
      <c r="I1097" s="303"/>
      <c r="J1097" s="302">
        <v>4.5761841654918998</v>
      </c>
      <c r="K1097" s="302">
        <v>7.3346743953365312</v>
      </c>
      <c r="L1097" s="302">
        <f>SUM(J1097:K1097)</f>
        <v>11.91085856082843</v>
      </c>
      <c r="M1097" s="236"/>
      <c r="N1097" s="236"/>
    </row>
    <row r="1098" spans="1:14" x14ac:dyDescent="0.2">
      <c r="A1098" s="237" t="str">
        <f>name!E$5</f>
        <v>Professional occupations</v>
      </c>
      <c r="B1098" s="302">
        <v>12.518240840323154</v>
      </c>
      <c r="C1098" s="302">
        <v>10.794820994213936</v>
      </c>
      <c r="D1098" s="302">
        <f t="shared" ref="D1098:D1105" si="400">SUM(B1098:C1098)</f>
        <v>23.313061834537088</v>
      </c>
      <c r="E1098" s="303"/>
      <c r="F1098" s="302">
        <v>15.94891943286944</v>
      </c>
      <c r="G1098" s="302">
        <v>13.82993329561708</v>
      </c>
      <c r="H1098" s="302">
        <f t="shared" ref="H1098:H1105" si="401">SUM(F1098:G1098)</f>
        <v>29.77885272848652</v>
      </c>
      <c r="I1098" s="303"/>
      <c r="J1098" s="302">
        <v>19.382610077524586</v>
      </c>
      <c r="K1098" s="302">
        <v>16.930081189278496</v>
      </c>
      <c r="L1098" s="302">
        <f t="shared" ref="L1098:L1105" si="402">SUM(J1098:K1098)</f>
        <v>36.312691266803085</v>
      </c>
      <c r="M1098" s="236"/>
      <c r="N1098" s="236"/>
    </row>
    <row r="1099" spans="1:14" x14ac:dyDescent="0.2">
      <c r="A1099" s="237" t="str">
        <f>name!E$6</f>
        <v>Associate professional occupations</v>
      </c>
      <c r="B1099" s="302">
        <v>11.245019923257212</v>
      </c>
      <c r="C1099" s="302">
        <v>14.469917642490959</v>
      </c>
      <c r="D1099" s="302">
        <f t="shared" si="400"/>
        <v>25.714937565748173</v>
      </c>
      <c r="E1099" s="303"/>
      <c r="F1099" s="302">
        <v>13.094438545098201</v>
      </c>
      <c r="G1099" s="302">
        <v>15.907938477539647</v>
      </c>
      <c r="H1099" s="302">
        <f t="shared" si="401"/>
        <v>29.002377022637848</v>
      </c>
      <c r="I1099" s="303"/>
      <c r="J1099" s="302">
        <v>17.199075651749812</v>
      </c>
      <c r="K1099" s="302">
        <v>15.667232416268645</v>
      </c>
      <c r="L1099" s="302">
        <f t="shared" si="402"/>
        <v>32.866308068018455</v>
      </c>
      <c r="M1099" s="236"/>
      <c r="N1099" s="236"/>
    </row>
    <row r="1100" spans="1:14" x14ac:dyDescent="0.2">
      <c r="A1100" s="237" t="str">
        <f>name!E$7</f>
        <v>Administrative and secretarial occupations</v>
      </c>
      <c r="B1100" s="302">
        <v>19.418161570091282</v>
      </c>
      <c r="C1100" s="302">
        <v>5.883051617910807</v>
      </c>
      <c r="D1100" s="302">
        <f t="shared" si="400"/>
        <v>25.301213188002087</v>
      </c>
      <c r="E1100" s="303"/>
      <c r="F1100" s="302">
        <v>17.854987110213884</v>
      </c>
      <c r="G1100" s="302">
        <v>6.0892254820010372</v>
      </c>
      <c r="H1100" s="302">
        <f t="shared" si="401"/>
        <v>23.944212592214921</v>
      </c>
      <c r="I1100" s="303"/>
      <c r="J1100" s="302">
        <v>12.86479723689042</v>
      </c>
      <c r="K1100" s="302">
        <v>5.0879618007308647</v>
      </c>
      <c r="L1100" s="302">
        <f t="shared" si="402"/>
        <v>17.952759037621284</v>
      </c>
      <c r="M1100" s="236"/>
      <c r="N1100" s="236"/>
    </row>
    <row r="1101" spans="1:14" x14ac:dyDescent="0.2">
      <c r="A1101" s="237" t="str">
        <f>name!E$8</f>
        <v>Skilled trades occupations</v>
      </c>
      <c r="B1101" s="302">
        <v>0.25125636454861466</v>
      </c>
      <c r="C1101" s="302">
        <v>2.1127576780826747</v>
      </c>
      <c r="D1101" s="302">
        <f t="shared" si="400"/>
        <v>2.3640140426312892</v>
      </c>
      <c r="E1101" s="303"/>
      <c r="F1101" s="302">
        <v>0.26955242917029332</v>
      </c>
      <c r="G1101" s="302">
        <v>1.710029932972444</v>
      </c>
      <c r="H1101" s="302">
        <f t="shared" si="401"/>
        <v>1.9795823621427373</v>
      </c>
      <c r="I1101" s="303"/>
      <c r="J1101" s="302">
        <v>0.66385039834760473</v>
      </c>
      <c r="K1101" s="302">
        <v>1.7180002937116705</v>
      </c>
      <c r="L1101" s="302">
        <f t="shared" si="402"/>
        <v>2.3818506920592752</v>
      </c>
      <c r="M1101" s="236"/>
      <c r="N1101" s="236"/>
    </row>
    <row r="1102" spans="1:14" x14ac:dyDescent="0.2">
      <c r="A1102" s="237" t="str">
        <f>name!E$9</f>
        <v>Caring, leisure and other service occupations</v>
      </c>
      <c r="B1102" s="302">
        <v>5.0048585152748712</v>
      </c>
      <c r="C1102" s="302">
        <v>1.050927312168636</v>
      </c>
      <c r="D1102" s="302">
        <f t="shared" si="400"/>
        <v>6.0557858274435077</v>
      </c>
      <c r="E1102" s="303"/>
      <c r="F1102" s="302">
        <v>4.8033892585956384</v>
      </c>
      <c r="G1102" s="302">
        <v>1.0969065138733487</v>
      </c>
      <c r="H1102" s="302">
        <f t="shared" si="401"/>
        <v>5.9002957724689873</v>
      </c>
      <c r="I1102" s="303"/>
      <c r="J1102" s="302">
        <v>5.4200679482971816</v>
      </c>
      <c r="K1102" s="302">
        <v>1.4050840935459616</v>
      </c>
      <c r="L1102" s="302">
        <f t="shared" si="402"/>
        <v>6.8251520418431433</v>
      </c>
      <c r="M1102" s="236"/>
      <c r="N1102" s="236"/>
    </row>
    <row r="1103" spans="1:14" x14ac:dyDescent="0.2">
      <c r="A1103" s="237" t="str">
        <f>name!E$10</f>
        <v>Sales and customer service occupations</v>
      </c>
      <c r="B1103" s="302">
        <v>1.7181714960633943</v>
      </c>
      <c r="C1103" s="302">
        <v>0.88319875346603316</v>
      </c>
      <c r="D1103" s="302">
        <f t="shared" si="400"/>
        <v>2.6013702495294275</v>
      </c>
      <c r="E1103" s="303"/>
      <c r="F1103" s="302">
        <v>1.7499534247110322</v>
      </c>
      <c r="G1103" s="302">
        <v>0.85860162013504837</v>
      </c>
      <c r="H1103" s="302">
        <f t="shared" si="401"/>
        <v>2.6085550448460806</v>
      </c>
      <c r="I1103" s="303"/>
      <c r="J1103" s="302">
        <v>2.063479199448782</v>
      </c>
      <c r="K1103" s="302">
        <v>1.15943389102324</v>
      </c>
      <c r="L1103" s="302">
        <f t="shared" si="402"/>
        <v>3.222913090472022</v>
      </c>
      <c r="M1103" s="236"/>
      <c r="N1103" s="236"/>
    </row>
    <row r="1104" spans="1:14" x14ac:dyDescent="0.2">
      <c r="A1104" s="237" t="str">
        <f>name!E$11</f>
        <v>Process, plant and machine operatives</v>
      </c>
      <c r="B1104" s="302">
        <v>0.18334286537614367</v>
      </c>
      <c r="C1104" s="302">
        <v>1.5785002901790215</v>
      </c>
      <c r="D1104" s="302">
        <f t="shared" si="400"/>
        <v>1.7618431555551652</v>
      </c>
      <c r="E1104" s="303"/>
      <c r="F1104" s="302">
        <v>0.15507638628174603</v>
      </c>
      <c r="G1104" s="302">
        <v>1.2658604251970964</v>
      </c>
      <c r="H1104" s="302">
        <f t="shared" si="401"/>
        <v>1.4209368114788425</v>
      </c>
      <c r="I1104" s="303"/>
      <c r="J1104" s="302">
        <v>0.32989384647978548</v>
      </c>
      <c r="K1104" s="302">
        <v>1.4760958822161565</v>
      </c>
      <c r="L1104" s="302">
        <f t="shared" si="402"/>
        <v>1.8059897286959421</v>
      </c>
      <c r="M1104" s="236"/>
      <c r="N1104" s="236"/>
    </row>
    <row r="1105" spans="1:14" x14ac:dyDescent="0.2">
      <c r="A1105" s="237" t="str">
        <f>name!E$12</f>
        <v>Elementary occupations</v>
      </c>
      <c r="B1105" s="302">
        <v>1.7379081514162464</v>
      </c>
      <c r="C1105" s="302">
        <v>2.1568673928342492</v>
      </c>
      <c r="D1105" s="302">
        <f t="shared" si="400"/>
        <v>3.8947755442504954</v>
      </c>
      <c r="E1105" s="303"/>
      <c r="F1105" s="302">
        <v>1.8529942799029264</v>
      </c>
      <c r="G1105" s="302">
        <v>1.6516833551696628</v>
      </c>
      <c r="H1105" s="302">
        <f t="shared" si="401"/>
        <v>3.5046776350725892</v>
      </c>
      <c r="I1105" s="303"/>
      <c r="J1105" s="302">
        <v>2.3530414762777205</v>
      </c>
      <c r="K1105" s="302">
        <v>1.4474360371658344</v>
      </c>
      <c r="L1105" s="302">
        <f t="shared" si="402"/>
        <v>3.8004775134435551</v>
      </c>
      <c r="M1105" s="236"/>
      <c r="N1105" s="236"/>
    </row>
    <row r="1106" spans="1:14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2">
      <c r="A1107" s="244" t="s">
        <v>32</v>
      </c>
      <c r="B1107" s="311">
        <f>SUM(B1097:B1105)</f>
        <v>55.134000000134257</v>
      </c>
      <c r="C1107" s="311">
        <f t="shared" ref="C1107:D1107" si="403">SUM(C1097:C1105)</f>
        <v>44.976999999709122</v>
      </c>
      <c r="D1107" s="311">
        <f t="shared" si="403"/>
        <v>100.11099999984337</v>
      </c>
      <c r="E1107" s="311"/>
      <c r="F1107" s="311">
        <f t="shared" ref="F1107:H1107" si="404">SUM(F1097:F1105)</f>
        <v>59.566999999549424</v>
      </c>
      <c r="G1107" s="311">
        <f t="shared" si="404"/>
        <v>49.328999999391243</v>
      </c>
      <c r="H1107" s="311">
        <f t="shared" si="404"/>
        <v>108.89599999894068</v>
      </c>
      <c r="I1107" s="311"/>
      <c r="J1107" s="311">
        <f t="shared" ref="J1107:L1107" si="405">SUM(J1097:J1105)</f>
        <v>64.853000000507777</v>
      </c>
      <c r="K1107" s="311">
        <f t="shared" si="405"/>
        <v>52.225999999277398</v>
      </c>
      <c r="L1107" s="311">
        <f t="shared" si="405"/>
        <v>117.0789999997852</v>
      </c>
      <c r="M1107" s="236"/>
      <c r="N1107" s="236"/>
    </row>
    <row r="1108" spans="1:14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2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2">
      <c r="A1111" s="241" t="str">
        <f>name!A68</f>
        <v xml:space="preserve">Education </v>
      </c>
      <c r="B1111" s="372">
        <f>B$6</f>
        <v>2015</v>
      </c>
      <c r="C1111" s="372"/>
      <c r="D1111" s="372"/>
      <c r="E1111" s="253"/>
      <c r="F1111" s="372">
        <f>F$6</f>
        <v>2020</v>
      </c>
      <c r="G1111" s="372"/>
      <c r="H1111" s="372"/>
      <c r="I1111" s="253"/>
      <c r="J1111" s="372">
        <f>J$6</f>
        <v>2035</v>
      </c>
      <c r="K1111" s="372"/>
      <c r="L1111" s="372"/>
      <c r="M1111" s="236"/>
      <c r="N1111" s="236"/>
    </row>
    <row r="1112" spans="1:14" x14ac:dyDescent="0.2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2">
      <c r="A1114" s="237" t="str">
        <f>name!E$4</f>
        <v>Managers, directors and senior officials</v>
      </c>
      <c r="B1114" s="302">
        <v>2.8009906234387434</v>
      </c>
      <c r="C1114" s="302">
        <v>3.2113516163721409</v>
      </c>
      <c r="D1114" s="302">
        <f>SUM(B1114:C1114)</f>
        <v>6.0123422398108843</v>
      </c>
      <c r="E1114" s="303"/>
      <c r="F1114" s="302">
        <v>3.5611031929335226</v>
      </c>
      <c r="G1114" s="302">
        <v>2.766359501310756</v>
      </c>
      <c r="H1114" s="302">
        <f>SUM(F1114:G1114)</f>
        <v>6.3274626942442787</v>
      </c>
      <c r="I1114" s="303"/>
      <c r="J1114" s="302">
        <v>4.2691205952727938</v>
      </c>
      <c r="K1114" s="302">
        <v>2.8415490521741251</v>
      </c>
      <c r="L1114" s="302">
        <f>SUM(J1114:K1114)</f>
        <v>7.1106696474469189</v>
      </c>
      <c r="M1114" s="236"/>
      <c r="N1114" s="236"/>
    </row>
    <row r="1115" spans="1:14" x14ac:dyDescent="0.2">
      <c r="A1115" s="237" t="str">
        <f>name!E$5</f>
        <v>Professional occupations</v>
      </c>
      <c r="B1115" s="302">
        <v>73.446649539938633</v>
      </c>
      <c r="C1115" s="302">
        <v>49.001544125156556</v>
      </c>
      <c r="D1115" s="302">
        <f t="shared" ref="D1115:D1122" si="406">SUM(B1115:C1115)</f>
        <v>122.44819366509519</v>
      </c>
      <c r="E1115" s="303"/>
      <c r="F1115" s="302">
        <v>86.533571330360303</v>
      </c>
      <c r="G1115" s="302">
        <v>46.490173400918763</v>
      </c>
      <c r="H1115" s="302">
        <f t="shared" ref="H1115:H1122" si="407">SUM(F1115:G1115)</f>
        <v>133.02374473127907</v>
      </c>
      <c r="I1115" s="303"/>
      <c r="J1115" s="302">
        <v>102.65908749039886</v>
      </c>
      <c r="K1115" s="302">
        <v>53.305120609991199</v>
      </c>
      <c r="L1115" s="302">
        <f t="shared" ref="L1115:L1122" si="408">SUM(J1115:K1115)</f>
        <v>155.96420810039007</v>
      </c>
      <c r="M1115" s="236"/>
      <c r="N1115" s="236"/>
    </row>
    <row r="1116" spans="1:14" x14ac:dyDescent="0.2">
      <c r="A1116" s="237" t="str">
        <f>name!E$6</f>
        <v>Associate professional occupations</v>
      </c>
      <c r="B1116" s="302">
        <v>12.170849181942312</v>
      </c>
      <c r="C1116" s="302">
        <v>7.2614939697391252</v>
      </c>
      <c r="D1116" s="302">
        <f t="shared" si="406"/>
        <v>19.432343151681437</v>
      </c>
      <c r="E1116" s="303"/>
      <c r="F1116" s="302">
        <v>13.414203365445985</v>
      </c>
      <c r="G1116" s="302">
        <v>6.1729040224351213</v>
      </c>
      <c r="H1116" s="302">
        <f t="shared" si="407"/>
        <v>19.587107387881105</v>
      </c>
      <c r="I1116" s="303"/>
      <c r="J1116" s="302">
        <v>14.932995358275713</v>
      </c>
      <c r="K1116" s="302">
        <v>4.910751876724416</v>
      </c>
      <c r="L1116" s="302">
        <f t="shared" si="408"/>
        <v>19.84374723500013</v>
      </c>
      <c r="M1116" s="236"/>
      <c r="N1116" s="236"/>
    </row>
    <row r="1117" spans="1:14" x14ac:dyDescent="0.2">
      <c r="A1117" s="237" t="str">
        <f>name!E$7</f>
        <v>Administrative and secretarial occupations</v>
      </c>
      <c r="B1117" s="302">
        <v>10.721527959368467</v>
      </c>
      <c r="C1117" s="302">
        <v>1.7265717410422592</v>
      </c>
      <c r="D1117" s="302">
        <f t="shared" si="406"/>
        <v>12.448099700410726</v>
      </c>
      <c r="E1117" s="303"/>
      <c r="F1117" s="302">
        <v>9.8389861574421733</v>
      </c>
      <c r="G1117" s="302">
        <v>1.3426901947061545</v>
      </c>
      <c r="H1117" s="302">
        <f t="shared" si="407"/>
        <v>11.181676352148328</v>
      </c>
      <c r="I1117" s="303"/>
      <c r="J1117" s="302">
        <v>4.4091486244891964</v>
      </c>
      <c r="K1117" s="302">
        <v>1.0632593217323669</v>
      </c>
      <c r="L1117" s="302">
        <f t="shared" si="408"/>
        <v>5.4724079462215638</v>
      </c>
      <c r="M1117" s="236"/>
      <c r="N1117" s="236"/>
    </row>
    <row r="1118" spans="1:14" x14ac:dyDescent="0.2">
      <c r="A1118" s="237" t="str">
        <f>name!E$8</f>
        <v>Skilled trades occupations</v>
      </c>
      <c r="B1118" s="302">
        <v>1.6337216564902437</v>
      </c>
      <c r="C1118" s="302">
        <v>1.7785585655631444</v>
      </c>
      <c r="D1118" s="302">
        <f t="shared" si="406"/>
        <v>3.4122802220533881</v>
      </c>
      <c r="E1118" s="303"/>
      <c r="F1118" s="302">
        <v>1.4095703184885766</v>
      </c>
      <c r="G1118" s="302">
        <v>1.0434879892714035</v>
      </c>
      <c r="H1118" s="302">
        <f t="shared" si="407"/>
        <v>2.4530583077599801</v>
      </c>
      <c r="I1118" s="303"/>
      <c r="J1118" s="302">
        <v>1.1627257538317572</v>
      </c>
      <c r="K1118" s="302">
        <v>0.70778115947464315</v>
      </c>
      <c r="L1118" s="302">
        <f t="shared" si="408"/>
        <v>1.8705069133064005</v>
      </c>
      <c r="M1118" s="236"/>
      <c r="N1118" s="236"/>
    </row>
    <row r="1119" spans="1:14" x14ac:dyDescent="0.2">
      <c r="A1119" s="237" t="str">
        <f>name!E$9</f>
        <v>Caring, leisure and other service occupations</v>
      </c>
      <c r="B1119" s="302">
        <v>51.950442106974471</v>
      </c>
      <c r="C1119" s="302">
        <v>3.7840408229964426</v>
      </c>
      <c r="D1119" s="302">
        <f t="shared" si="406"/>
        <v>55.734482929970916</v>
      </c>
      <c r="E1119" s="303"/>
      <c r="F1119" s="302">
        <v>50.216109906071736</v>
      </c>
      <c r="G1119" s="302">
        <v>3.2548017109775671</v>
      </c>
      <c r="H1119" s="302">
        <f t="shared" si="407"/>
        <v>53.470911617049303</v>
      </c>
      <c r="I1119" s="303"/>
      <c r="J1119" s="302">
        <v>55.856148167026042</v>
      </c>
      <c r="K1119" s="302">
        <v>3.6809786903656208</v>
      </c>
      <c r="L1119" s="302">
        <f t="shared" si="408"/>
        <v>59.537126857391662</v>
      </c>
      <c r="M1119" s="236"/>
      <c r="N1119" s="236"/>
    </row>
    <row r="1120" spans="1:14" x14ac:dyDescent="0.2">
      <c r="A1120" s="237" t="str">
        <f>name!E$10</f>
        <v>Sales and customer service occupations</v>
      </c>
      <c r="B1120" s="302">
        <v>0.92580672835639222</v>
      </c>
      <c r="C1120" s="302">
        <v>0.39271999764237686</v>
      </c>
      <c r="D1120" s="302">
        <f t="shared" si="406"/>
        <v>1.318526725998769</v>
      </c>
      <c r="E1120" s="303"/>
      <c r="F1120" s="302">
        <v>0.8505424740535289</v>
      </c>
      <c r="G1120" s="302">
        <v>0.26060231676786516</v>
      </c>
      <c r="H1120" s="302">
        <f t="shared" si="407"/>
        <v>1.1111447908213941</v>
      </c>
      <c r="I1120" s="303"/>
      <c r="J1120" s="302">
        <v>0.78928691615446089</v>
      </c>
      <c r="K1120" s="302">
        <v>0.29214360990064092</v>
      </c>
      <c r="L1120" s="302">
        <f t="shared" si="408"/>
        <v>1.0814305260551018</v>
      </c>
      <c r="M1120" s="236"/>
      <c r="N1120" s="236"/>
    </row>
    <row r="1121" spans="1:14" x14ac:dyDescent="0.2">
      <c r="A1121" s="237" t="str">
        <f>name!E$11</f>
        <v>Process, plant and machine operatives</v>
      </c>
      <c r="B1121" s="302">
        <v>1.1872766288577328</v>
      </c>
      <c r="C1121" s="302">
        <v>3.0486470185834809</v>
      </c>
      <c r="D1121" s="302">
        <f t="shared" si="406"/>
        <v>4.2359236474412132</v>
      </c>
      <c r="E1121" s="303"/>
      <c r="F1121" s="302">
        <v>1.2727122110392193</v>
      </c>
      <c r="G1121" s="302">
        <v>1.678480351672585</v>
      </c>
      <c r="H1121" s="302">
        <f t="shared" si="407"/>
        <v>2.9511925627118041</v>
      </c>
      <c r="I1121" s="303"/>
      <c r="J1121" s="302">
        <v>1.5134075636479418</v>
      </c>
      <c r="K1121" s="302">
        <v>1.7439354806585901</v>
      </c>
      <c r="L1121" s="302">
        <f t="shared" si="408"/>
        <v>3.2573430443065319</v>
      </c>
      <c r="M1121" s="236"/>
      <c r="N1121" s="236"/>
    </row>
    <row r="1122" spans="1:14" x14ac:dyDescent="0.2">
      <c r="A1122" s="237" t="str">
        <f>name!E$12</f>
        <v>Elementary occupations</v>
      </c>
      <c r="B1122" s="302">
        <v>12.398735575360504</v>
      </c>
      <c r="C1122" s="302">
        <v>3.243072143641732</v>
      </c>
      <c r="D1122" s="302">
        <f t="shared" si="406"/>
        <v>15.641807719002237</v>
      </c>
      <c r="E1122" s="303"/>
      <c r="F1122" s="302">
        <v>9.8742010396428075</v>
      </c>
      <c r="G1122" s="302">
        <v>1.9055005123231354</v>
      </c>
      <c r="H1122" s="302">
        <f t="shared" si="407"/>
        <v>11.779701551965942</v>
      </c>
      <c r="I1122" s="303"/>
      <c r="J1122" s="302">
        <v>5.5600795344487706</v>
      </c>
      <c r="K1122" s="302">
        <v>1.3834801968756694</v>
      </c>
      <c r="L1122" s="302">
        <f t="shared" si="408"/>
        <v>6.9435597313244397</v>
      </c>
      <c r="M1122" s="236"/>
      <c r="N1122" s="236"/>
    </row>
    <row r="1123" spans="1:14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2">
      <c r="A1124" s="244" t="s">
        <v>32</v>
      </c>
      <c r="B1124" s="311">
        <f>SUM(B1114:B1122)</f>
        <v>167.23600000072753</v>
      </c>
      <c r="C1124" s="311">
        <f t="shared" ref="C1124:D1124" si="409">SUM(C1114:C1122)</f>
        <v>73.448000000737252</v>
      </c>
      <c r="D1124" s="311">
        <f t="shared" si="409"/>
        <v>240.68400000146474</v>
      </c>
      <c r="E1124" s="311"/>
      <c r="F1124" s="311">
        <f t="shared" ref="F1124:H1124" si="410">SUM(F1114:F1122)</f>
        <v>176.97099999547785</v>
      </c>
      <c r="G1124" s="311">
        <f t="shared" si="410"/>
        <v>64.915000000383344</v>
      </c>
      <c r="H1124" s="311">
        <f t="shared" si="410"/>
        <v>241.8859999958612</v>
      </c>
      <c r="I1124" s="311"/>
      <c r="J1124" s="311">
        <f t="shared" ref="J1124:L1124" si="411">SUM(J1114:J1122)</f>
        <v>191.15200000354551</v>
      </c>
      <c r="K1124" s="311">
        <f t="shared" si="411"/>
        <v>69.928999997897265</v>
      </c>
      <c r="L1124" s="311">
        <f t="shared" si="411"/>
        <v>261.08100000144282</v>
      </c>
      <c r="M1124" s="236"/>
      <c r="N1124" s="236"/>
    </row>
    <row r="1125" spans="1:14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2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2">
      <c r="A1128" s="241" t="str">
        <f>name!A69</f>
        <v>Health</v>
      </c>
      <c r="B1128" s="372">
        <f>B$6</f>
        <v>2015</v>
      </c>
      <c r="C1128" s="372"/>
      <c r="D1128" s="372"/>
      <c r="E1128" s="253"/>
      <c r="F1128" s="372">
        <f>F$6</f>
        <v>2020</v>
      </c>
      <c r="G1128" s="372"/>
      <c r="H1128" s="372"/>
      <c r="I1128" s="253"/>
      <c r="J1128" s="372">
        <f>J$6</f>
        <v>2035</v>
      </c>
      <c r="K1128" s="372"/>
      <c r="L1128" s="372"/>
      <c r="M1128" s="236"/>
      <c r="N1128" s="236"/>
    </row>
    <row r="1129" spans="1:14" x14ac:dyDescent="0.2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2">
      <c r="A1131" s="237" t="str">
        <f>name!E$4</f>
        <v>Managers, directors and senior officials</v>
      </c>
      <c r="B1131" s="302">
        <v>5.1962821752284878</v>
      </c>
      <c r="C1131" s="302">
        <v>4.448465820493964</v>
      </c>
      <c r="D1131" s="302">
        <f>SUM(B1131:C1131)</f>
        <v>9.6447479957224509</v>
      </c>
      <c r="E1131" s="303"/>
      <c r="F1131" s="302">
        <v>6.4029502916307299</v>
      </c>
      <c r="G1131" s="302">
        <v>5.1586915108227061</v>
      </c>
      <c r="H1131" s="302">
        <f>SUM(F1131:G1131)</f>
        <v>11.561641802453437</v>
      </c>
      <c r="I1131" s="303"/>
      <c r="J1131" s="302">
        <v>9.8411973562524455</v>
      </c>
      <c r="K1131" s="302">
        <v>6.4364298144500296</v>
      </c>
      <c r="L1131" s="302">
        <f>SUM(J1131:K1131)</f>
        <v>16.277627170702473</v>
      </c>
      <c r="M1131" s="236"/>
      <c r="N1131" s="236"/>
    </row>
    <row r="1132" spans="1:14" x14ac:dyDescent="0.2">
      <c r="A1132" s="237" t="str">
        <f>name!E$5</f>
        <v>Professional occupations</v>
      </c>
      <c r="B1132" s="302">
        <v>46.85314779436721</v>
      </c>
      <c r="C1132" s="302">
        <v>21.091811976642184</v>
      </c>
      <c r="D1132" s="302">
        <f t="shared" ref="D1132:D1139" si="412">SUM(B1132:C1132)</f>
        <v>67.944959771009394</v>
      </c>
      <c r="E1132" s="303"/>
      <c r="F1132" s="302">
        <v>53.987347836604407</v>
      </c>
      <c r="G1132" s="302">
        <v>24.769392172543483</v>
      </c>
      <c r="H1132" s="302">
        <f t="shared" ref="H1132:H1139" si="413">SUM(F1132:G1132)</f>
        <v>78.75674000914789</v>
      </c>
      <c r="I1132" s="303"/>
      <c r="J1132" s="302">
        <v>79.748713167055257</v>
      </c>
      <c r="K1132" s="302">
        <v>34.266195999440555</v>
      </c>
      <c r="L1132" s="302">
        <f t="shared" ref="L1132:L1139" si="414">SUM(J1132:K1132)</f>
        <v>114.01490916649581</v>
      </c>
      <c r="M1132" s="236"/>
      <c r="N1132" s="236"/>
    </row>
    <row r="1133" spans="1:14" x14ac:dyDescent="0.2">
      <c r="A1133" s="237" t="str">
        <f>name!E$6</f>
        <v>Associate professional occupations</v>
      </c>
      <c r="B1133" s="302">
        <v>21.215773790501395</v>
      </c>
      <c r="C1133" s="302">
        <v>7.8723420956206178</v>
      </c>
      <c r="D1133" s="302">
        <f t="shared" si="412"/>
        <v>29.088115886122011</v>
      </c>
      <c r="E1133" s="303"/>
      <c r="F1133" s="302">
        <v>23.947427427845746</v>
      </c>
      <c r="G1133" s="302">
        <v>8.0430545099184894</v>
      </c>
      <c r="H1133" s="302">
        <f t="shared" si="413"/>
        <v>31.990481937764237</v>
      </c>
      <c r="I1133" s="303"/>
      <c r="J1133" s="302">
        <v>32.812039368278882</v>
      </c>
      <c r="K1133" s="302">
        <v>9.4293402850290686</v>
      </c>
      <c r="L1133" s="302">
        <f t="shared" si="414"/>
        <v>42.241379653307952</v>
      </c>
      <c r="M1133" s="236"/>
      <c r="N1133" s="236"/>
    </row>
    <row r="1134" spans="1:14" x14ac:dyDescent="0.2">
      <c r="A1134" s="237" t="str">
        <f>name!E$7</f>
        <v>Administrative and secretarial occupations</v>
      </c>
      <c r="B1134" s="302">
        <v>15.528442010877644</v>
      </c>
      <c r="C1134" s="302">
        <v>2.4695370953887879</v>
      </c>
      <c r="D1134" s="302">
        <f t="shared" si="412"/>
        <v>17.997979106266431</v>
      </c>
      <c r="E1134" s="303"/>
      <c r="F1134" s="302">
        <v>14.297501260750098</v>
      </c>
      <c r="G1134" s="302">
        <v>2.2530872951766594</v>
      </c>
      <c r="H1134" s="302">
        <f t="shared" si="413"/>
        <v>16.550588555926758</v>
      </c>
      <c r="I1134" s="303"/>
      <c r="J1134" s="302">
        <v>9.2912748763979565</v>
      </c>
      <c r="K1134" s="302">
        <v>2.387273253312018</v>
      </c>
      <c r="L1134" s="302">
        <f t="shared" si="414"/>
        <v>11.678548129709974</v>
      </c>
      <c r="M1134" s="236"/>
      <c r="N1134" s="236"/>
    </row>
    <row r="1135" spans="1:14" x14ac:dyDescent="0.2">
      <c r="A1135" s="237" t="str">
        <f>name!E$8</f>
        <v>Skilled trades occupations</v>
      </c>
      <c r="B1135" s="302">
        <v>1.0738787671546648</v>
      </c>
      <c r="C1135" s="302">
        <v>1.8478706851385445</v>
      </c>
      <c r="D1135" s="302">
        <f t="shared" si="412"/>
        <v>2.9217494522932093</v>
      </c>
      <c r="E1135" s="303"/>
      <c r="F1135" s="302">
        <v>0.92170269978100994</v>
      </c>
      <c r="G1135" s="302">
        <v>1.5684791553653503</v>
      </c>
      <c r="H1135" s="302">
        <f t="shared" si="413"/>
        <v>2.4901818551463601</v>
      </c>
      <c r="I1135" s="303"/>
      <c r="J1135" s="302">
        <v>0.85418386819007197</v>
      </c>
      <c r="K1135" s="302">
        <v>1.6677813478443277</v>
      </c>
      <c r="L1135" s="302">
        <f t="shared" si="414"/>
        <v>2.5219652160343999</v>
      </c>
      <c r="M1135" s="236"/>
      <c r="N1135" s="236"/>
    </row>
    <row r="1136" spans="1:14" x14ac:dyDescent="0.2">
      <c r="A1136" s="237" t="str">
        <f>name!E$9</f>
        <v>Caring, leisure and other service occupations</v>
      </c>
      <c r="B1136" s="302">
        <v>70.026610841367415</v>
      </c>
      <c r="C1136" s="302">
        <v>6.5776036626416721</v>
      </c>
      <c r="D1136" s="302">
        <f t="shared" si="412"/>
        <v>76.604214504009093</v>
      </c>
      <c r="E1136" s="303"/>
      <c r="F1136" s="302">
        <v>69.219323411033415</v>
      </c>
      <c r="G1136" s="302">
        <v>6.5905292291691273</v>
      </c>
      <c r="H1136" s="302">
        <f t="shared" si="413"/>
        <v>75.809852640202536</v>
      </c>
      <c r="I1136" s="303"/>
      <c r="J1136" s="302">
        <v>92.070972533544605</v>
      </c>
      <c r="K1136" s="302">
        <v>10.592474642756025</v>
      </c>
      <c r="L1136" s="302">
        <f t="shared" si="414"/>
        <v>102.66344717630064</v>
      </c>
      <c r="M1136" s="236"/>
      <c r="N1136" s="236"/>
    </row>
    <row r="1137" spans="1:14" x14ac:dyDescent="0.2">
      <c r="A1137" s="237" t="str">
        <f>name!E$10</f>
        <v>Sales and customer service occupations</v>
      </c>
      <c r="B1137" s="302">
        <v>2.049449941356611</v>
      </c>
      <c r="C1137" s="302">
        <v>0.72958586560908079</v>
      </c>
      <c r="D1137" s="302">
        <f t="shared" si="412"/>
        <v>2.779035806965692</v>
      </c>
      <c r="E1137" s="303"/>
      <c r="F1137" s="302">
        <v>1.9039474799076319</v>
      </c>
      <c r="G1137" s="302">
        <v>0.615391722556759</v>
      </c>
      <c r="H1137" s="302">
        <f t="shared" si="413"/>
        <v>2.519339202464391</v>
      </c>
      <c r="I1137" s="303"/>
      <c r="J1137" s="302">
        <v>2.6113352613569711</v>
      </c>
      <c r="K1137" s="302">
        <v>0.75397301669734107</v>
      </c>
      <c r="L1137" s="302">
        <f t="shared" si="414"/>
        <v>3.3653082780543122</v>
      </c>
      <c r="M1137" s="236"/>
      <c r="N1137" s="236"/>
    </row>
    <row r="1138" spans="1:14" x14ac:dyDescent="0.2">
      <c r="A1138" s="237" t="str">
        <f>name!E$11</f>
        <v>Process, plant and machine operatives</v>
      </c>
      <c r="B1138" s="302">
        <v>0.30519852358224137</v>
      </c>
      <c r="C1138" s="302">
        <v>1.2273803742698739</v>
      </c>
      <c r="D1138" s="302">
        <f t="shared" si="412"/>
        <v>1.5325788978521153</v>
      </c>
      <c r="E1138" s="303"/>
      <c r="F1138" s="302">
        <v>0.24325187481414451</v>
      </c>
      <c r="G1138" s="302">
        <v>1.037046728381311</v>
      </c>
      <c r="H1138" s="302">
        <f t="shared" si="413"/>
        <v>1.2802986031954555</v>
      </c>
      <c r="I1138" s="303"/>
      <c r="J1138" s="302">
        <v>0.27156276682565078</v>
      </c>
      <c r="K1138" s="302">
        <v>1.1145964752632989</v>
      </c>
      <c r="L1138" s="302">
        <f t="shared" si="414"/>
        <v>1.3861592420889497</v>
      </c>
      <c r="M1138" s="236"/>
      <c r="N1138" s="236"/>
    </row>
    <row r="1139" spans="1:14" x14ac:dyDescent="0.2">
      <c r="A1139" s="237" t="str">
        <f>name!E$12</f>
        <v>Elementary occupations</v>
      </c>
      <c r="B1139" s="302">
        <v>4.4672161533293435</v>
      </c>
      <c r="C1139" s="302">
        <v>2.5594024241462261</v>
      </c>
      <c r="D1139" s="302">
        <f t="shared" si="412"/>
        <v>7.0266185774755696</v>
      </c>
      <c r="E1139" s="303"/>
      <c r="F1139" s="302">
        <v>3.4895477167550726</v>
      </c>
      <c r="G1139" s="302">
        <v>1.7853276753627052</v>
      </c>
      <c r="H1139" s="302">
        <f t="shared" si="413"/>
        <v>5.274875392117778</v>
      </c>
      <c r="I1139" s="303"/>
      <c r="J1139" s="302">
        <v>2.6647208015588042</v>
      </c>
      <c r="K1139" s="302">
        <v>1.3459351646575741</v>
      </c>
      <c r="L1139" s="302">
        <f t="shared" si="414"/>
        <v>4.0106559662163779</v>
      </c>
      <c r="M1139" s="236"/>
      <c r="N1139" s="236"/>
    </row>
    <row r="1140" spans="1:14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2">
      <c r="A1141" s="244" t="s">
        <v>32</v>
      </c>
      <c r="B1141" s="311">
        <f>SUM(B1131:B1139)</f>
        <v>166.71599999776501</v>
      </c>
      <c r="C1141" s="311">
        <f t="shared" ref="C1141:D1141" si="415">SUM(C1131:C1139)</f>
        <v>48.823999999950956</v>
      </c>
      <c r="D1141" s="311">
        <f t="shared" si="415"/>
        <v>215.53999999771597</v>
      </c>
      <c r="E1141" s="311"/>
      <c r="F1141" s="311">
        <f t="shared" ref="F1141:H1141" si="416">SUM(F1131:F1139)</f>
        <v>174.41299999912226</v>
      </c>
      <c r="G1141" s="311">
        <f t="shared" si="416"/>
        <v>51.820999999296603</v>
      </c>
      <c r="H1141" s="311">
        <f t="shared" si="416"/>
        <v>226.23399999841882</v>
      </c>
      <c r="I1141" s="311"/>
      <c r="J1141" s="311">
        <f t="shared" ref="J1141:L1141" si="417">SUM(J1131:J1139)</f>
        <v>230.16599999946064</v>
      </c>
      <c r="K1141" s="311">
        <f t="shared" si="417"/>
        <v>67.993999999450239</v>
      </c>
      <c r="L1141" s="311">
        <f t="shared" si="417"/>
        <v>298.15999999891091</v>
      </c>
      <c r="M1141" s="236"/>
      <c r="N1141" s="236"/>
    </row>
    <row r="1142" spans="1:14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2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2">
      <c r="A1145" s="241" t="str">
        <f>name!A70</f>
        <v>Residential care</v>
      </c>
      <c r="B1145" s="372">
        <f>B$6</f>
        <v>2015</v>
      </c>
      <c r="C1145" s="372"/>
      <c r="D1145" s="372"/>
      <c r="E1145" s="253"/>
      <c r="F1145" s="372">
        <f>F$6</f>
        <v>2020</v>
      </c>
      <c r="G1145" s="372"/>
      <c r="H1145" s="372"/>
      <c r="I1145" s="253"/>
      <c r="J1145" s="372">
        <f>J$6</f>
        <v>2035</v>
      </c>
      <c r="K1145" s="372"/>
      <c r="L1145" s="372"/>
      <c r="M1145" s="236"/>
      <c r="N1145" s="236"/>
    </row>
    <row r="1146" spans="1:14" x14ac:dyDescent="0.2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2">
      <c r="A1148" s="237" t="str">
        <f>name!E$4</f>
        <v>Managers, directors and senior officials</v>
      </c>
      <c r="B1148" s="302">
        <v>2.0245068773665214</v>
      </c>
      <c r="C1148" s="302">
        <v>1.6810677774944456</v>
      </c>
      <c r="D1148" s="302">
        <f>SUM(B1148:C1148)</f>
        <v>3.7055746548609667</v>
      </c>
      <c r="E1148" s="303"/>
      <c r="F1148" s="302">
        <v>2.1076472001331537</v>
      </c>
      <c r="G1148" s="302">
        <v>1.4562851287237701</v>
      </c>
      <c r="H1148" s="302">
        <f>SUM(F1148:G1148)</f>
        <v>3.5639323288569238</v>
      </c>
      <c r="I1148" s="303"/>
      <c r="J1148" s="302">
        <v>2.7944279279652533</v>
      </c>
      <c r="K1148" s="302">
        <v>1.6306210345746768</v>
      </c>
      <c r="L1148" s="302">
        <f>SUM(J1148:K1148)</f>
        <v>4.4250489625399299</v>
      </c>
      <c r="M1148" s="236"/>
      <c r="N1148" s="236"/>
    </row>
    <row r="1149" spans="1:14" x14ac:dyDescent="0.2">
      <c r="A1149" s="237" t="str">
        <f>name!E$5</f>
        <v>Professional occupations</v>
      </c>
      <c r="B1149" s="302">
        <v>18.306413580726279</v>
      </c>
      <c r="C1149" s="302">
        <v>7.8125585019110861</v>
      </c>
      <c r="D1149" s="302">
        <f t="shared" ref="D1149:D1156" si="418">SUM(B1149:C1149)</f>
        <v>26.118972082637363</v>
      </c>
      <c r="E1149" s="303"/>
      <c r="F1149" s="302">
        <v>17.688000685136679</v>
      </c>
      <c r="G1149" s="302">
        <v>7.5963431962998547</v>
      </c>
      <c r="H1149" s="302">
        <f t="shared" ref="H1149:H1156" si="419">SUM(F1149:G1149)</f>
        <v>25.284343881436534</v>
      </c>
      <c r="I1149" s="303"/>
      <c r="J1149" s="302">
        <v>22.440907026111443</v>
      </c>
      <c r="K1149" s="302">
        <v>9.3156550073834179</v>
      </c>
      <c r="L1149" s="302">
        <f t="shared" ref="L1149:L1156" si="420">SUM(J1149:K1149)</f>
        <v>31.756562033494859</v>
      </c>
      <c r="M1149" s="236"/>
      <c r="N1149" s="236"/>
    </row>
    <row r="1150" spans="1:14" x14ac:dyDescent="0.2">
      <c r="A1150" s="237" t="str">
        <f>name!E$6</f>
        <v>Associate professional occupations</v>
      </c>
      <c r="B1150" s="302">
        <v>8.4242256230676116</v>
      </c>
      <c r="C1150" s="302">
        <v>3.105910092269816</v>
      </c>
      <c r="D1150" s="302">
        <f t="shared" si="418"/>
        <v>11.530135715337428</v>
      </c>
      <c r="E1150" s="303"/>
      <c r="F1150" s="302">
        <v>7.7744365071083701</v>
      </c>
      <c r="G1150" s="302">
        <v>2.621107743728202</v>
      </c>
      <c r="H1150" s="302">
        <f t="shared" si="419"/>
        <v>10.395544250836572</v>
      </c>
      <c r="I1150" s="303"/>
      <c r="J1150" s="302">
        <v>9.0790346278143588</v>
      </c>
      <c r="K1150" s="302">
        <v>2.5828016394433684</v>
      </c>
      <c r="L1150" s="302">
        <f t="shared" si="420"/>
        <v>11.661836267257726</v>
      </c>
      <c r="M1150" s="236"/>
      <c r="N1150" s="236"/>
    </row>
    <row r="1151" spans="1:14" x14ac:dyDescent="0.2">
      <c r="A1151" s="237" t="str">
        <f>name!E$7</f>
        <v>Administrative and secretarial occupations</v>
      </c>
      <c r="B1151" s="302">
        <v>6.1116706541620811</v>
      </c>
      <c r="C1151" s="302">
        <v>1.0974058057409173</v>
      </c>
      <c r="D1151" s="302">
        <f t="shared" si="418"/>
        <v>7.2090764599029988</v>
      </c>
      <c r="E1151" s="303"/>
      <c r="F1151" s="302">
        <v>4.4863842416069621</v>
      </c>
      <c r="G1151" s="302">
        <v>0.77538988456985658</v>
      </c>
      <c r="H1151" s="302">
        <f t="shared" si="419"/>
        <v>5.2617741261768192</v>
      </c>
      <c r="I1151" s="303"/>
      <c r="J1151" s="302">
        <v>2.5716213787814199</v>
      </c>
      <c r="K1151" s="302">
        <v>0.6781422163026033</v>
      </c>
      <c r="L1151" s="302">
        <f t="shared" si="420"/>
        <v>3.2497635950840231</v>
      </c>
      <c r="M1151" s="236"/>
      <c r="N1151" s="236"/>
    </row>
    <row r="1152" spans="1:14" x14ac:dyDescent="0.2">
      <c r="A1152" s="237" t="str">
        <f>name!E$8</f>
        <v>Skilled trades occupations</v>
      </c>
      <c r="B1152" s="302">
        <v>0.43287285867224673</v>
      </c>
      <c r="C1152" s="302">
        <v>0.70362765309306219</v>
      </c>
      <c r="D1152" s="302">
        <f t="shared" si="418"/>
        <v>1.1365005117653089</v>
      </c>
      <c r="E1152" s="303"/>
      <c r="F1152" s="302">
        <v>0.29101928812420996</v>
      </c>
      <c r="G1152" s="302">
        <v>0.40965271576543727</v>
      </c>
      <c r="H1152" s="302">
        <f t="shared" si="419"/>
        <v>0.70067200388964723</v>
      </c>
      <c r="I1152" s="303"/>
      <c r="J1152" s="302">
        <v>0.21866724058825815</v>
      </c>
      <c r="K1152" s="302">
        <v>0.37720998301753766</v>
      </c>
      <c r="L1152" s="302">
        <f t="shared" si="420"/>
        <v>0.59587722360579587</v>
      </c>
      <c r="M1152" s="236"/>
      <c r="N1152" s="236"/>
    </row>
    <row r="1153" spans="1:14" x14ac:dyDescent="0.2">
      <c r="A1153" s="237" t="str">
        <f>name!E$9</f>
        <v>Caring, leisure and other service occupations</v>
      </c>
      <c r="B1153" s="302">
        <v>27.733997154510774</v>
      </c>
      <c r="C1153" s="302">
        <v>2.8068831865494666</v>
      </c>
      <c r="D1153" s="302">
        <f t="shared" si="418"/>
        <v>30.540880341060241</v>
      </c>
      <c r="E1153" s="303"/>
      <c r="F1153" s="302">
        <v>22.343956238317393</v>
      </c>
      <c r="G1153" s="302">
        <v>2.223832369357845</v>
      </c>
      <c r="H1153" s="302">
        <f t="shared" si="419"/>
        <v>24.567788607675237</v>
      </c>
      <c r="I1153" s="303"/>
      <c r="J1153" s="302">
        <v>24.947759889258993</v>
      </c>
      <c r="K1153" s="302">
        <v>2.9660080638789701</v>
      </c>
      <c r="L1153" s="302">
        <f t="shared" si="420"/>
        <v>27.913767953137963</v>
      </c>
      <c r="M1153" s="236"/>
      <c r="N1153" s="236"/>
    </row>
    <row r="1154" spans="1:14" x14ac:dyDescent="0.2">
      <c r="A1154" s="237" t="str">
        <f>name!E$10</f>
        <v>Sales and customer service occupations</v>
      </c>
      <c r="B1154" s="302">
        <v>0.81182273998580534</v>
      </c>
      <c r="C1154" s="302">
        <v>0.31590633912944421</v>
      </c>
      <c r="D1154" s="302">
        <f t="shared" si="418"/>
        <v>1.1277290791152494</v>
      </c>
      <c r="E1154" s="303"/>
      <c r="F1154" s="302">
        <v>0.60621214697354775</v>
      </c>
      <c r="G1154" s="302">
        <v>0.19653544194344624</v>
      </c>
      <c r="H1154" s="302">
        <f t="shared" si="419"/>
        <v>0.80274758891699394</v>
      </c>
      <c r="I1154" s="303"/>
      <c r="J1154" s="302">
        <v>0.70567801019072895</v>
      </c>
      <c r="K1154" s="302">
        <v>0.20759000867493543</v>
      </c>
      <c r="L1154" s="302">
        <f t="shared" si="420"/>
        <v>0.91326801886566433</v>
      </c>
      <c r="M1154" s="236"/>
      <c r="N1154" s="236"/>
    </row>
    <row r="1155" spans="1:14" x14ac:dyDescent="0.2">
      <c r="A1155" s="237" t="str">
        <f>name!E$11</f>
        <v>Process, plant and machine operatives</v>
      </c>
      <c r="B1155" s="302">
        <v>0.12282716666885568</v>
      </c>
      <c r="C1155" s="302">
        <v>0.60287735600727288</v>
      </c>
      <c r="D1155" s="302">
        <f t="shared" si="418"/>
        <v>0.72570452267612851</v>
      </c>
      <c r="E1155" s="303"/>
      <c r="F1155" s="302">
        <v>7.4470473529567982E-2</v>
      </c>
      <c r="G1155" s="302">
        <v>0.3581185704897395</v>
      </c>
      <c r="H1155" s="302">
        <f t="shared" si="419"/>
        <v>0.43258904401930748</v>
      </c>
      <c r="I1155" s="303"/>
      <c r="J1155" s="302">
        <v>6.521980162188358E-2</v>
      </c>
      <c r="K1155" s="302">
        <v>0.31557354456181053</v>
      </c>
      <c r="L1155" s="302">
        <f t="shared" si="420"/>
        <v>0.38079334618369409</v>
      </c>
      <c r="M1155" s="236"/>
      <c r="N1155" s="236"/>
    </row>
    <row r="1156" spans="1:14" x14ac:dyDescent="0.2">
      <c r="A1156" s="237" t="str">
        <f>name!E$12</f>
        <v>Elementary occupations</v>
      </c>
      <c r="B1156" s="302">
        <v>1.7996633438265524</v>
      </c>
      <c r="C1156" s="302">
        <v>1.2977632877307497</v>
      </c>
      <c r="D1156" s="302">
        <f t="shared" si="418"/>
        <v>3.097426631557302</v>
      </c>
      <c r="E1156" s="303"/>
      <c r="F1156" s="302">
        <v>1.0748732189100305</v>
      </c>
      <c r="G1156" s="302">
        <v>0.65573494887479544</v>
      </c>
      <c r="H1156" s="302">
        <f t="shared" si="419"/>
        <v>1.730608167784826</v>
      </c>
      <c r="I1156" s="303"/>
      <c r="J1156" s="302">
        <v>0.79468409754396263</v>
      </c>
      <c r="K1156" s="302">
        <v>0.39939850194436377</v>
      </c>
      <c r="L1156" s="302">
        <f t="shared" si="420"/>
        <v>1.1940825994883264</v>
      </c>
      <c r="M1156" s="236"/>
      <c r="N1156" s="236"/>
    </row>
    <row r="1157" spans="1:14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2">
      <c r="A1158" s="244" t="s">
        <v>32</v>
      </c>
      <c r="B1158" s="311">
        <f>SUM(B1148:B1156)</f>
        <v>65.767999998986738</v>
      </c>
      <c r="C1158" s="311">
        <f t="shared" ref="C1158:D1158" si="421">SUM(C1148:C1156)</f>
        <v>19.423999999926263</v>
      </c>
      <c r="D1158" s="311">
        <f t="shared" si="421"/>
        <v>85.191999998912991</v>
      </c>
      <c r="E1158" s="311"/>
      <c r="F1158" s="311">
        <f t="shared" ref="F1158:H1158" si="422">SUM(F1148:F1156)</f>
        <v>56.44699999983991</v>
      </c>
      <c r="G1158" s="311">
        <f t="shared" si="422"/>
        <v>16.292999999752947</v>
      </c>
      <c r="H1158" s="311">
        <f t="shared" si="422"/>
        <v>72.739999999592868</v>
      </c>
      <c r="I1158" s="311"/>
      <c r="J1158" s="311">
        <f t="shared" ref="J1158:L1158" si="423">SUM(J1148:J1156)</f>
        <v>63.617999999876318</v>
      </c>
      <c r="K1158" s="311">
        <f t="shared" si="423"/>
        <v>18.472999999781685</v>
      </c>
      <c r="L1158" s="311">
        <f t="shared" si="423"/>
        <v>82.090999999657996</v>
      </c>
      <c r="M1158" s="236"/>
      <c r="N1158" s="236"/>
    </row>
    <row r="1159" spans="1:14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2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2">
      <c r="A1162" s="241" t="str">
        <f>name!A71</f>
        <v>Social work</v>
      </c>
      <c r="B1162" s="372">
        <f>B$6</f>
        <v>2015</v>
      </c>
      <c r="C1162" s="372"/>
      <c r="D1162" s="372"/>
      <c r="E1162" s="253"/>
      <c r="F1162" s="372">
        <f>F$6</f>
        <v>2020</v>
      </c>
      <c r="G1162" s="372"/>
      <c r="H1162" s="372"/>
      <c r="I1162" s="253"/>
      <c r="J1162" s="372">
        <f>J$6</f>
        <v>2035</v>
      </c>
      <c r="K1162" s="372"/>
      <c r="L1162" s="372"/>
      <c r="M1162" s="236"/>
      <c r="N1162" s="236"/>
    </row>
    <row r="1163" spans="1:14" x14ac:dyDescent="0.2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2">
      <c r="A1165" s="237" t="str">
        <f>name!E$4</f>
        <v>Managers, directors and senior officials</v>
      </c>
      <c r="B1165" s="302">
        <v>2.2681853233128342</v>
      </c>
      <c r="C1165" s="302">
        <v>1.5641244631613558</v>
      </c>
      <c r="D1165" s="302">
        <f>SUM(B1165:C1165)</f>
        <v>3.8323097864741902</v>
      </c>
      <c r="E1165" s="303"/>
      <c r="F1165" s="302">
        <v>2.2527706478982008</v>
      </c>
      <c r="G1165" s="302">
        <v>1.2709323660758522</v>
      </c>
      <c r="H1165" s="302">
        <f>SUM(F1165:G1165)</f>
        <v>3.5237030139740533</v>
      </c>
      <c r="I1165" s="303"/>
      <c r="J1165" s="302">
        <v>2.9532516215211713</v>
      </c>
      <c r="K1165" s="302">
        <v>1.4249548999212251</v>
      </c>
      <c r="L1165" s="302">
        <f>SUM(J1165:K1165)</f>
        <v>4.3782065214423964</v>
      </c>
      <c r="M1165" s="236"/>
      <c r="N1165" s="236"/>
    </row>
    <row r="1166" spans="1:14" x14ac:dyDescent="0.2">
      <c r="A1166" s="237" t="str">
        <f>name!E$5</f>
        <v>Professional occupations</v>
      </c>
      <c r="B1166" s="302">
        <v>20.669704536736084</v>
      </c>
      <c r="C1166" s="302">
        <v>7.2899106203362978</v>
      </c>
      <c r="D1166" s="302">
        <f t="shared" ref="D1166:D1173" si="424">SUM(B1166:C1166)</f>
        <v>27.959615157072381</v>
      </c>
      <c r="E1166" s="303"/>
      <c r="F1166" s="302">
        <v>19.15947908263637</v>
      </c>
      <c r="G1166" s="302">
        <v>6.3469650270451998</v>
      </c>
      <c r="H1166" s="302">
        <f t="shared" ref="H1166:H1173" si="425">SUM(F1166:G1166)</f>
        <v>25.506444109681571</v>
      </c>
      <c r="I1166" s="303"/>
      <c r="J1166" s="302">
        <v>23.886874164706683</v>
      </c>
      <c r="K1166" s="302">
        <v>7.7876965589256555</v>
      </c>
      <c r="L1166" s="302">
        <f t="shared" ref="L1166:L1173" si="426">SUM(J1166:K1166)</f>
        <v>31.674570723632339</v>
      </c>
      <c r="M1166" s="236"/>
      <c r="N1166" s="236"/>
    </row>
    <row r="1167" spans="1:14" x14ac:dyDescent="0.2">
      <c r="A1167" s="237" t="str">
        <f>name!E$6</f>
        <v>Associate professional occupations</v>
      </c>
      <c r="B1167" s="302">
        <v>9.4962413574750268</v>
      </c>
      <c r="C1167" s="302">
        <v>2.8653833295575115</v>
      </c>
      <c r="D1167" s="302">
        <f t="shared" si="424"/>
        <v>12.361624687032538</v>
      </c>
      <c r="E1167" s="303"/>
      <c r="F1167" s="302">
        <v>8.5729604879233978</v>
      </c>
      <c r="G1167" s="302">
        <v>2.2175071704890432</v>
      </c>
      <c r="H1167" s="302">
        <f t="shared" si="425"/>
        <v>10.790467658412441</v>
      </c>
      <c r="I1167" s="303"/>
      <c r="J1167" s="302">
        <v>9.7941054141248198</v>
      </c>
      <c r="K1167" s="302">
        <v>2.2003519257807445</v>
      </c>
      <c r="L1167" s="302">
        <f t="shared" si="426"/>
        <v>11.994457339905564</v>
      </c>
      <c r="M1167" s="236"/>
      <c r="N1167" s="236"/>
    </row>
    <row r="1168" spans="1:14" x14ac:dyDescent="0.2">
      <c r="A1168" s="237" t="str">
        <f>name!E$7</f>
        <v>Administrative and secretarial occupations</v>
      </c>
      <c r="B1168" s="302">
        <v>7.0112904263282765</v>
      </c>
      <c r="C1168" s="302">
        <v>0.99305564732368767</v>
      </c>
      <c r="D1168" s="302">
        <f t="shared" si="424"/>
        <v>8.0043460736519645</v>
      </c>
      <c r="E1168" s="303"/>
      <c r="F1168" s="302">
        <v>5.1600167599003512</v>
      </c>
      <c r="G1168" s="302">
        <v>0.67569249027798739</v>
      </c>
      <c r="H1168" s="302">
        <f t="shared" si="425"/>
        <v>5.835709250178339</v>
      </c>
      <c r="I1168" s="303"/>
      <c r="J1168" s="302">
        <v>2.7774675817263472</v>
      </c>
      <c r="K1168" s="302">
        <v>0.58464882522406203</v>
      </c>
      <c r="L1168" s="302">
        <f t="shared" si="426"/>
        <v>3.3621164069504093</v>
      </c>
      <c r="M1168" s="236"/>
      <c r="N1168" s="236"/>
    </row>
    <row r="1169" spans="1:14" x14ac:dyDescent="0.2">
      <c r="A1169" s="237" t="str">
        <f>name!E$8</f>
        <v>Skilled trades occupations</v>
      </c>
      <c r="B1169" s="302">
        <v>0.49497683829487815</v>
      </c>
      <c r="C1169" s="302">
        <v>0.65489585070099843</v>
      </c>
      <c r="D1169" s="302">
        <f t="shared" si="424"/>
        <v>1.1498726889958766</v>
      </c>
      <c r="E1169" s="303"/>
      <c r="F1169" s="302">
        <v>0.33906304437656798</v>
      </c>
      <c r="G1169" s="302">
        <v>0.36932338399471409</v>
      </c>
      <c r="H1169" s="302">
        <f t="shared" si="425"/>
        <v>0.70838642837128207</v>
      </c>
      <c r="I1169" s="303"/>
      <c r="J1169" s="302">
        <v>0.25107893655722807</v>
      </c>
      <c r="K1169" s="302">
        <v>0.34880441533415674</v>
      </c>
      <c r="L1169" s="302">
        <f t="shared" si="426"/>
        <v>0.59988335189138486</v>
      </c>
      <c r="M1169" s="236"/>
      <c r="N1169" s="236"/>
    </row>
    <row r="1170" spans="1:14" x14ac:dyDescent="0.2">
      <c r="A1170" s="237" t="str">
        <f>name!E$9</f>
        <v>Caring, leisure and other service occupations</v>
      </c>
      <c r="B1170" s="302">
        <v>31.475829397775716</v>
      </c>
      <c r="C1170" s="302">
        <v>2.5566958486276889</v>
      </c>
      <c r="D1170" s="302">
        <f t="shared" si="424"/>
        <v>34.032525246403402</v>
      </c>
      <c r="E1170" s="303"/>
      <c r="F1170" s="302">
        <v>24.908368995777916</v>
      </c>
      <c r="G1170" s="302">
        <v>1.9513343760040933</v>
      </c>
      <c r="H1170" s="302">
        <f t="shared" si="425"/>
        <v>26.859703371782011</v>
      </c>
      <c r="I1170" s="303"/>
      <c r="J1170" s="302">
        <v>27.376611161176232</v>
      </c>
      <c r="K1170" s="302">
        <v>2.5937696358197999</v>
      </c>
      <c r="L1170" s="302">
        <f t="shared" si="426"/>
        <v>29.970380796996032</v>
      </c>
      <c r="M1170" s="236"/>
      <c r="N1170" s="236"/>
    </row>
    <row r="1171" spans="1:14" x14ac:dyDescent="0.2">
      <c r="A1171" s="237" t="str">
        <f>name!E$10</f>
        <v>Sales and customer service occupations</v>
      </c>
      <c r="B1171" s="302">
        <v>0.92136083189602025</v>
      </c>
      <c r="C1171" s="302">
        <v>0.2873530673742643</v>
      </c>
      <c r="D1171" s="302">
        <f t="shared" si="424"/>
        <v>1.2087138992702846</v>
      </c>
      <c r="E1171" s="303"/>
      <c r="F1171" s="302">
        <v>0.68344344273185487</v>
      </c>
      <c r="G1171" s="302">
        <v>0.17480886663236408</v>
      </c>
      <c r="H1171" s="302">
        <f t="shared" si="425"/>
        <v>0.85825230936421892</v>
      </c>
      <c r="I1171" s="303"/>
      <c r="J1171" s="302">
        <v>0.77627164522445469</v>
      </c>
      <c r="K1171" s="302">
        <v>0.18456883972032637</v>
      </c>
      <c r="L1171" s="302">
        <f t="shared" si="426"/>
        <v>0.96084048494478103</v>
      </c>
      <c r="M1171" s="236"/>
      <c r="N1171" s="236"/>
    </row>
    <row r="1172" spans="1:14" x14ac:dyDescent="0.2">
      <c r="A1172" s="237" t="str">
        <f>name!E$11</f>
        <v>Process, plant and machine operatives</v>
      </c>
      <c r="B1172" s="302">
        <v>0.14185729456192575</v>
      </c>
      <c r="C1172" s="302">
        <v>0.53844190093916</v>
      </c>
      <c r="D1172" s="302">
        <f t="shared" si="424"/>
        <v>0.68029919550108575</v>
      </c>
      <c r="E1172" s="303"/>
      <c r="F1172" s="302">
        <v>9.0336061215539068E-2</v>
      </c>
      <c r="G1172" s="302">
        <v>0.33809932153730543</v>
      </c>
      <c r="H1172" s="302">
        <f t="shared" si="425"/>
        <v>0.42843538275284448</v>
      </c>
      <c r="I1172" s="303"/>
      <c r="J1172" s="302">
        <v>7.8981146069561137E-2</v>
      </c>
      <c r="K1172" s="302">
        <v>0.30080024928298565</v>
      </c>
      <c r="L1172" s="302">
        <f t="shared" si="426"/>
        <v>0.37978139535254679</v>
      </c>
      <c r="M1172" s="236"/>
      <c r="N1172" s="236"/>
    </row>
    <row r="1173" spans="1:14" x14ac:dyDescent="0.2">
      <c r="A1173" s="237" t="str">
        <f>name!E$12</f>
        <v>Elementary occupations</v>
      </c>
      <c r="B1173" s="302">
        <v>2.0705539925011389</v>
      </c>
      <c r="C1173" s="302">
        <v>1.1531392719208926</v>
      </c>
      <c r="D1173" s="302">
        <f t="shared" si="424"/>
        <v>3.2236932644220317</v>
      </c>
      <c r="E1173" s="303"/>
      <c r="F1173" s="302">
        <v>1.2865614772393139</v>
      </c>
      <c r="G1173" s="302">
        <v>0.6063369977542773</v>
      </c>
      <c r="H1173" s="302">
        <f t="shared" si="425"/>
        <v>1.8928984749935913</v>
      </c>
      <c r="I1173" s="303"/>
      <c r="J1173" s="302">
        <v>0.80635832873753344</v>
      </c>
      <c r="K1173" s="302">
        <v>0.38240464983918132</v>
      </c>
      <c r="L1173" s="302">
        <f t="shared" si="426"/>
        <v>1.1887629785767149</v>
      </c>
      <c r="M1173" s="236"/>
      <c r="N1173" s="236"/>
    </row>
    <row r="1174" spans="1:14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2">
      <c r="A1175" s="244" t="s">
        <v>32</v>
      </c>
      <c r="B1175" s="311">
        <f>SUM(B1165:B1173)</f>
        <v>74.549999998881901</v>
      </c>
      <c r="C1175" s="311">
        <f t="shared" ref="C1175:D1175" si="427">SUM(C1165:C1173)</f>
        <v>17.902999999941855</v>
      </c>
      <c r="D1175" s="311">
        <f t="shared" si="427"/>
        <v>92.452999998823742</v>
      </c>
      <c r="E1175" s="311"/>
      <c r="F1175" s="311">
        <f t="shared" ref="F1175:H1175" si="428">SUM(F1165:F1173)</f>
        <v>62.452999999699514</v>
      </c>
      <c r="G1175" s="311">
        <f t="shared" si="428"/>
        <v>13.950999999810838</v>
      </c>
      <c r="H1175" s="311">
        <f t="shared" si="428"/>
        <v>76.403999999510347</v>
      </c>
      <c r="I1175" s="311"/>
      <c r="J1175" s="311">
        <f t="shared" ref="J1175:L1175" si="429">SUM(J1165:J1173)</f>
        <v>68.700999999844029</v>
      </c>
      <c r="K1175" s="311">
        <f t="shared" si="429"/>
        <v>15.807999999848137</v>
      </c>
      <c r="L1175" s="311">
        <f t="shared" si="429"/>
        <v>84.508999999692179</v>
      </c>
      <c r="M1175" s="236"/>
      <c r="N1175" s="236"/>
    </row>
    <row r="1176" spans="1:14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2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2">
      <c r="A1179" s="241" t="str">
        <f>name!A72</f>
        <v>Arts and entertainment</v>
      </c>
      <c r="B1179" s="372">
        <f>B$6</f>
        <v>2015</v>
      </c>
      <c r="C1179" s="372"/>
      <c r="D1179" s="372"/>
      <c r="E1179" s="253"/>
      <c r="F1179" s="372">
        <f>F$6</f>
        <v>2020</v>
      </c>
      <c r="G1179" s="372"/>
      <c r="H1179" s="372"/>
      <c r="I1179" s="253"/>
      <c r="J1179" s="372">
        <f>J$6</f>
        <v>2035</v>
      </c>
      <c r="K1179" s="372"/>
      <c r="L1179" s="372"/>
      <c r="M1179" s="236"/>
      <c r="N1179" s="236"/>
    </row>
    <row r="1180" spans="1:14" x14ac:dyDescent="0.2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2">
      <c r="A1182" s="237" t="str">
        <f>name!E$4</f>
        <v>Managers, directors and senior officials</v>
      </c>
      <c r="B1182" s="302">
        <v>0.47278600912415325</v>
      </c>
      <c r="C1182" s="302">
        <v>0.58504495119306399</v>
      </c>
      <c r="D1182" s="302">
        <f>SUM(B1182:C1182)</f>
        <v>1.0578309603172174</v>
      </c>
      <c r="E1182" s="303"/>
      <c r="F1182" s="302">
        <v>0.65831821520229727</v>
      </c>
      <c r="G1182" s="302">
        <v>0.56421118880690868</v>
      </c>
      <c r="H1182" s="302">
        <f>SUM(F1182:G1182)</f>
        <v>1.2225294040092058</v>
      </c>
      <c r="I1182" s="303"/>
      <c r="J1182" s="302">
        <v>1.0275201975379602</v>
      </c>
      <c r="K1182" s="302">
        <v>0.73491924116213414</v>
      </c>
      <c r="L1182" s="302">
        <f>SUM(J1182:K1182)</f>
        <v>1.7624394387000943</v>
      </c>
      <c r="M1182" s="236"/>
      <c r="N1182" s="236"/>
    </row>
    <row r="1183" spans="1:14" x14ac:dyDescent="0.2">
      <c r="A1183" s="237" t="str">
        <f>name!E$5</f>
        <v>Professional occupations</v>
      </c>
      <c r="B1183" s="302">
        <v>1.0848824712388419</v>
      </c>
      <c r="C1183" s="302">
        <v>0.89599308979393189</v>
      </c>
      <c r="D1183" s="302">
        <f t="shared" ref="D1183:D1190" si="430">SUM(B1183:C1183)</f>
        <v>1.9808755610327737</v>
      </c>
      <c r="E1183" s="303"/>
      <c r="F1183" s="302">
        <v>1.4528619854073495</v>
      </c>
      <c r="G1183" s="302">
        <v>0.86319170123072653</v>
      </c>
      <c r="H1183" s="302">
        <f t="shared" ref="H1183:H1190" si="431">SUM(F1183:G1183)</f>
        <v>2.3160536866380759</v>
      </c>
      <c r="I1183" s="303"/>
      <c r="J1183" s="302">
        <v>1.887668431909644</v>
      </c>
      <c r="K1183" s="302">
        <v>1.091356316683858</v>
      </c>
      <c r="L1183" s="302">
        <f t="shared" ref="L1183:L1190" si="432">SUM(J1183:K1183)</f>
        <v>2.9790247485935017</v>
      </c>
      <c r="M1183" s="236"/>
      <c r="N1183" s="236"/>
    </row>
    <row r="1184" spans="1:14" x14ac:dyDescent="0.2">
      <c r="A1184" s="237" t="str">
        <f>name!E$6</f>
        <v>Associate professional occupations</v>
      </c>
      <c r="B1184" s="302">
        <v>2.1004962902460882</v>
      </c>
      <c r="C1184" s="302">
        <v>2.3149916824914301</v>
      </c>
      <c r="D1184" s="302">
        <f t="shared" si="430"/>
        <v>4.4154879727375178</v>
      </c>
      <c r="E1184" s="303"/>
      <c r="F1184" s="302">
        <v>3.1734124262107826</v>
      </c>
      <c r="G1184" s="302">
        <v>2.0055155286339201</v>
      </c>
      <c r="H1184" s="302">
        <f t="shared" si="431"/>
        <v>5.1789279548447027</v>
      </c>
      <c r="I1184" s="303"/>
      <c r="J1184" s="302">
        <v>4.3597730914527331</v>
      </c>
      <c r="K1184" s="302">
        <v>2.279117678619953</v>
      </c>
      <c r="L1184" s="302">
        <f t="shared" si="432"/>
        <v>6.6388907700726865</v>
      </c>
      <c r="M1184" s="236"/>
      <c r="N1184" s="236"/>
    </row>
    <row r="1185" spans="1:14" x14ac:dyDescent="0.2">
      <c r="A1185" s="237" t="str">
        <f>name!E$7</f>
        <v>Administrative and secretarial occupations</v>
      </c>
      <c r="B1185" s="302">
        <v>0.90339889971028398</v>
      </c>
      <c r="C1185" s="302">
        <v>0.14839877125227569</v>
      </c>
      <c r="D1185" s="302">
        <f t="shared" si="430"/>
        <v>1.0517976709625596</v>
      </c>
      <c r="E1185" s="303"/>
      <c r="F1185" s="302">
        <v>0.91175956432065441</v>
      </c>
      <c r="G1185" s="302">
        <v>0.13193583991247237</v>
      </c>
      <c r="H1185" s="302">
        <f t="shared" si="431"/>
        <v>1.0436954042331268</v>
      </c>
      <c r="I1185" s="303"/>
      <c r="J1185" s="302">
        <v>0.87706970805891848</v>
      </c>
      <c r="K1185" s="302">
        <v>0.19431079621836825</v>
      </c>
      <c r="L1185" s="302">
        <f t="shared" si="432"/>
        <v>1.0713805042772868</v>
      </c>
      <c r="M1185" s="236"/>
      <c r="N1185" s="236"/>
    </row>
    <row r="1186" spans="1:14" x14ac:dyDescent="0.2">
      <c r="A1186" s="237" t="str">
        <f>name!E$8</f>
        <v>Skilled trades occupations</v>
      </c>
      <c r="B1186" s="302">
        <v>0.25397184875341006</v>
      </c>
      <c r="C1186" s="302">
        <v>0.77640258045285182</v>
      </c>
      <c r="D1186" s="302">
        <f t="shared" si="430"/>
        <v>1.0303744292062618</v>
      </c>
      <c r="E1186" s="303"/>
      <c r="F1186" s="302">
        <v>0.37970261521220772</v>
      </c>
      <c r="G1186" s="302">
        <v>0.59664819041361328</v>
      </c>
      <c r="H1186" s="302">
        <f t="shared" si="431"/>
        <v>0.97635080562582099</v>
      </c>
      <c r="I1186" s="303"/>
      <c r="J1186" s="302">
        <v>0.59006258406562095</v>
      </c>
      <c r="K1186" s="302">
        <v>0.62196391789458949</v>
      </c>
      <c r="L1186" s="302">
        <f t="shared" si="432"/>
        <v>1.2120265019602106</v>
      </c>
      <c r="M1186" s="236"/>
      <c r="N1186" s="236"/>
    </row>
    <row r="1187" spans="1:14" x14ac:dyDescent="0.2">
      <c r="A1187" s="237" t="str">
        <f>name!E$9</f>
        <v>Caring, leisure and other service occupations</v>
      </c>
      <c r="B1187" s="302">
        <v>0.63514873948323292</v>
      </c>
      <c r="C1187" s="302">
        <v>0.22765606361429641</v>
      </c>
      <c r="D1187" s="302">
        <f t="shared" si="430"/>
        <v>0.86280480309752927</v>
      </c>
      <c r="E1187" s="303"/>
      <c r="F1187" s="302">
        <v>0.60979077130289661</v>
      </c>
      <c r="G1187" s="302">
        <v>0.26171039950490566</v>
      </c>
      <c r="H1187" s="302">
        <f t="shared" si="431"/>
        <v>0.87150117080780221</v>
      </c>
      <c r="I1187" s="303"/>
      <c r="J1187" s="302">
        <v>0.742483006574996</v>
      </c>
      <c r="K1187" s="302">
        <v>0.35797417794064895</v>
      </c>
      <c r="L1187" s="302">
        <f t="shared" si="432"/>
        <v>1.100457184515645</v>
      </c>
      <c r="M1187" s="236"/>
      <c r="N1187" s="236"/>
    </row>
    <row r="1188" spans="1:14" x14ac:dyDescent="0.2">
      <c r="A1188" s="237" t="str">
        <f>name!E$10</f>
        <v>Sales and customer service occupations</v>
      </c>
      <c r="B1188" s="302">
        <v>0.28246329590638253</v>
      </c>
      <c r="C1188" s="302">
        <v>0.15951895383471668</v>
      </c>
      <c r="D1188" s="302">
        <f t="shared" si="430"/>
        <v>0.44198224974109923</v>
      </c>
      <c r="E1188" s="303"/>
      <c r="F1188" s="302">
        <v>0.26336880639036903</v>
      </c>
      <c r="G1188" s="302">
        <v>0.170808194014301</v>
      </c>
      <c r="H1188" s="302">
        <f t="shared" si="431"/>
        <v>0.43417700040467</v>
      </c>
      <c r="I1188" s="303"/>
      <c r="J1188" s="302">
        <v>0.31847562650851285</v>
      </c>
      <c r="K1188" s="302">
        <v>0.20821510928734624</v>
      </c>
      <c r="L1188" s="302">
        <f t="shared" si="432"/>
        <v>0.52669073579585912</v>
      </c>
      <c r="M1188" s="236"/>
      <c r="N1188" s="236"/>
    </row>
    <row r="1189" spans="1:14" x14ac:dyDescent="0.2">
      <c r="A1189" s="237" t="str">
        <f>name!E$11</f>
        <v>Process, plant and machine operatives</v>
      </c>
      <c r="B1189" s="302">
        <v>2.6679232300918516E-2</v>
      </c>
      <c r="C1189" s="302">
        <v>7.9352998685917053E-2</v>
      </c>
      <c r="D1189" s="302">
        <f t="shared" si="430"/>
        <v>0.10603223098683556</v>
      </c>
      <c r="E1189" s="303"/>
      <c r="F1189" s="302">
        <v>2.8462088202696884E-2</v>
      </c>
      <c r="G1189" s="302">
        <v>7.1644989964273986E-2</v>
      </c>
      <c r="H1189" s="302">
        <f t="shared" si="431"/>
        <v>0.10010707816697087</v>
      </c>
      <c r="I1189" s="303"/>
      <c r="J1189" s="302">
        <v>5.9732323809768402E-2</v>
      </c>
      <c r="K1189" s="302">
        <v>8.915288589506111E-2</v>
      </c>
      <c r="L1189" s="302">
        <f t="shared" si="432"/>
        <v>0.14888520970482952</v>
      </c>
      <c r="M1189" s="236"/>
      <c r="N1189" s="236"/>
    </row>
    <row r="1190" spans="1:14" x14ac:dyDescent="0.2">
      <c r="A1190" s="237" t="str">
        <f>name!E$12</f>
        <v>Elementary occupations</v>
      </c>
      <c r="B1190" s="302">
        <v>0.48017321331528301</v>
      </c>
      <c r="C1190" s="302">
        <v>0.31164090877683193</v>
      </c>
      <c r="D1190" s="302">
        <f t="shared" si="430"/>
        <v>0.79181412209211488</v>
      </c>
      <c r="E1190" s="303"/>
      <c r="F1190" s="302">
        <v>0.48732352759571396</v>
      </c>
      <c r="G1190" s="302">
        <v>0.34133396757635204</v>
      </c>
      <c r="H1190" s="302">
        <f t="shared" si="431"/>
        <v>0.82865749517206599</v>
      </c>
      <c r="I1190" s="303"/>
      <c r="J1190" s="302">
        <v>0.46721503017395127</v>
      </c>
      <c r="K1190" s="302">
        <v>0.32198987644323368</v>
      </c>
      <c r="L1190" s="302">
        <f t="shared" si="432"/>
        <v>0.7892049066171849</v>
      </c>
      <c r="M1190" s="236"/>
      <c r="N1190" s="236"/>
    </row>
    <row r="1191" spans="1:14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2">
      <c r="A1192" s="244" t="s">
        <v>32</v>
      </c>
      <c r="B1192" s="311">
        <f>SUM(B1182:B1190)</f>
        <v>6.2400000000785951</v>
      </c>
      <c r="C1192" s="311">
        <f t="shared" ref="C1192:D1192" si="433">SUM(C1182:C1190)</f>
        <v>5.4990000000953154</v>
      </c>
      <c r="D1192" s="311">
        <f t="shared" si="433"/>
        <v>11.73900000017391</v>
      </c>
      <c r="E1192" s="311"/>
      <c r="F1192" s="311">
        <f t="shared" ref="F1192:H1192" si="434">SUM(F1182:F1190)</f>
        <v>7.9649999998449674</v>
      </c>
      <c r="G1192" s="311">
        <f t="shared" si="434"/>
        <v>5.0070000000574728</v>
      </c>
      <c r="H1192" s="311">
        <f t="shared" si="434"/>
        <v>12.971999999902442</v>
      </c>
      <c r="I1192" s="311"/>
      <c r="J1192" s="311">
        <f t="shared" ref="J1192:L1192" si="435">SUM(J1182:J1190)</f>
        <v>10.330000000092104</v>
      </c>
      <c r="K1192" s="311">
        <f t="shared" si="435"/>
        <v>5.8990000001451932</v>
      </c>
      <c r="L1192" s="311">
        <f t="shared" si="435"/>
        <v>16.229000000237296</v>
      </c>
      <c r="M1192" s="236"/>
      <c r="N1192" s="236"/>
    </row>
    <row r="1193" spans="1:14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2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2">
      <c r="A1196" s="241" t="str">
        <f>name!A73</f>
        <v>Libraries, etc</v>
      </c>
      <c r="B1196" s="372">
        <f>B$6</f>
        <v>2015</v>
      </c>
      <c r="C1196" s="372"/>
      <c r="D1196" s="372"/>
      <c r="E1196" s="253"/>
      <c r="F1196" s="372">
        <f>F$6</f>
        <v>2020</v>
      </c>
      <c r="G1196" s="372"/>
      <c r="H1196" s="372"/>
      <c r="I1196" s="253"/>
      <c r="J1196" s="372">
        <f>J$6</f>
        <v>2035</v>
      </c>
      <c r="K1196" s="372"/>
      <c r="L1196" s="372"/>
      <c r="M1196" s="236"/>
      <c r="N1196" s="236"/>
    </row>
    <row r="1197" spans="1:14" x14ac:dyDescent="0.2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2">
      <c r="A1199" s="237" t="str">
        <f>name!E$4</f>
        <v>Managers, directors and senior officials</v>
      </c>
      <c r="B1199" s="302">
        <v>0.61781459839034447</v>
      </c>
      <c r="C1199" s="302">
        <v>0.99318077670851235</v>
      </c>
      <c r="D1199" s="302">
        <f>SUM(B1199:C1199)</f>
        <v>1.6109953750988568</v>
      </c>
      <c r="E1199" s="303"/>
      <c r="F1199" s="302">
        <v>0.66054518173550913</v>
      </c>
      <c r="G1199" s="302">
        <v>0.70123586690633999</v>
      </c>
      <c r="H1199" s="302">
        <f>SUM(F1199:G1199)</f>
        <v>1.3617810486418491</v>
      </c>
      <c r="I1199" s="303"/>
      <c r="J1199" s="302">
        <v>1.0482222049452816</v>
      </c>
      <c r="K1199" s="302">
        <v>0.91749705536650594</v>
      </c>
      <c r="L1199" s="302">
        <f>SUM(J1199:K1199)</f>
        <v>1.9657192603117877</v>
      </c>
      <c r="M1199" s="236"/>
      <c r="N1199" s="236"/>
    </row>
    <row r="1200" spans="1:14" x14ac:dyDescent="0.2">
      <c r="A1200" s="237" t="str">
        <f>name!E$5</f>
        <v>Professional occupations</v>
      </c>
      <c r="B1200" s="302">
        <v>1.4279400730539669</v>
      </c>
      <c r="C1200" s="302">
        <v>1.6059090964239802</v>
      </c>
      <c r="D1200" s="302">
        <f t="shared" ref="D1200:D1207" si="436">SUM(B1200:C1200)</f>
        <v>3.0338491694779472</v>
      </c>
      <c r="E1200" s="303"/>
      <c r="F1200" s="302">
        <v>1.4211736861628839</v>
      </c>
      <c r="G1200" s="302">
        <v>1.0958154743513395</v>
      </c>
      <c r="H1200" s="302">
        <f t="shared" ref="H1200:H1207" si="437">SUM(F1200:G1200)</f>
        <v>2.5169891605142234</v>
      </c>
      <c r="I1200" s="303"/>
      <c r="J1200" s="302">
        <v>1.8549314276889202</v>
      </c>
      <c r="K1200" s="302">
        <v>1.3906707744192468</v>
      </c>
      <c r="L1200" s="302">
        <f t="shared" ref="L1200:L1207" si="438">SUM(J1200:K1200)</f>
        <v>3.245602202108167</v>
      </c>
      <c r="M1200" s="236"/>
      <c r="N1200" s="236"/>
    </row>
    <row r="1201" spans="1:14" x14ac:dyDescent="0.2">
      <c r="A1201" s="237" t="str">
        <f>name!E$6</f>
        <v>Associate professional occupations</v>
      </c>
      <c r="B1201" s="302">
        <v>3.1893221928596684</v>
      </c>
      <c r="C1201" s="302">
        <v>4.2787693462477243</v>
      </c>
      <c r="D1201" s="302">
        <f t="shared" si="436"/>
        <v>7.4680915391073928</v>
      </c>
      <c r="E1201" s="303"/>
      <c r="F1201" s="302">
        <v>3.3273119771163668</v>
      </c>
      <c r="G1201" s="302">
        <v>2.5574219864466508</v>
      </c>
      <c r="H1201" s="302">
        <f t="shared" si="437"/>
        <v>5.8847339635630176</v>
      </c>
      <c r="I1201" s="303"/>
      <c r="J1201" s="302">
        <v>4.6304765966653409</v>
      </c>
      <c r="K1201" s="302">
        <v>2.8973991575104519</v>
      </c>
      <c r="L1201" s="302">
        <f t="shared" si="438"/>
        <v>7.5278757541757928</v>
      </c>
      <c r="M1201" s="236"/>
      <c r="N1201" s="236"/>
    </row>
    <row r="1202" spans="1:14" x14ac:dyDescent="0.2">
      <c r="A1202" s="237" t="str">
        <f>name!E$7</f>
        <v>Administrative and secretarial occupations</v>
      </c>
      <c r="B1202" s="302">
        <v>1.4028014076585822</v>
      </c>
      <c r="C1202" s="302">
        <v>0.24524332926366071</v>
      </c>
      <c r="D1202" s="302">
        <f t="shared" si="436"/>
        <v>1.6480447369222428</v>
      </c>
      <c r="E1202" s="303"/>
      <c r="F1202" s="302">
        <v>0.97299856398171103</v>
      </c>
      <c r="G1202" s="302">
        <v>0.16294098920205305</v>
      </c>
      <c r="H1202" s="302">
        <f t="shared" si="437"/>
        <v>1.1359395531837642</v>
      </c>
      <c r="I1202" s="303"/>
      <c r="J1202" s="302">
        <v>0.95848938263529182</v>
      </c>
      <c r="K1202" s="302">
        <v>0.23646759946759616</v>
      </c>
      <c r="L1202" s="302">
        <f t="shared" si="438"/>
        <v>1.194956982102888</v>
      </c>
      <c r="M1202" s="236"/>
      <c r="N1202" s="236"/>
    </row>
    <row r="1203" spans="1:14" x14ac:dyDescent="0.2">
      <c r="A1203" s="237" t="str">
        <f>name!E$8</f>
        <v>Skilled trades occupations</v>
      </c>
      <c r="B1203" s="302">
        <v>0.36652112453449442</v>
      </c>
      <c r="C1203" s="302">
        <v>1.3512268202329938</v>
      </c>
      <c r="D1203" s="302">
        <f t="shared" si="436"/>
        <v>1.7177479447674882</v>
      </c>
      <c r="E1203" s="303"/>
      <c r="F1203" s="302">
        <v>0.39543627001728887</v>
      </c>
      <c r="G1203" s="302">
        <v>0.75101259747261728</v>
      </c>
      <c r="H1203" s="302">
        <f t="shared" si="437"/>
        <v>1.146448867489906</v>
      </c>
      <c r="I1203" s="303"/>
      <c r="J1203" s="302">
        <v>0.62519652086551869</v>
      </c>
      <c r="K1203" s="302">
        <v>0.79166176531729837</v>
      </c>
      <c r="L1203" s="302">
        <f t="shared" si="438"/>
        <v>1.416858286182817</v>
      </c>
      <c r="M1203" s="236"/>
      <c r="N1203" s="236"/>
    </row>
    <row r="1204" spans="1:14" x14ac:dyDescent="0.2">
      <c r="A1204" s="237" t="str">
        <f>name!E$9</f>
        <v>Caring, leisure and other service occupations</v>
      </c>
      <c r="B1204" s="302">
        <v>0.95257673292413525</v>
      </c>
      <c r="C1204" s="302">
        <v>0.42105031862814529</v>
      </c>
      <c r="D1204" s="302">
        <f t="shared" si="436"/>
        <v>1.3736270515522806</v>
      </c>
      <c r="E1204" s="303"/>
      <c r="F1204" s="302">
        <v>0.64283399051645373</v>
      </c>
      <c r="G1204" s="302">
        <v>0.34936657707380353</v>
      </c>
      <c r="H1204" s="302">
        <f t="shared" si="437"/>
        <v>0.99220056759025721</v>
      </c>
      <c r="I1204" s="303"/>
      <c r="J1204" s="302">
        <v>0.80098727869369357</v>
      </c>
      <c r="K1204" s="302">
        <v>0.47792067486409268</v>
      </c>
      <c r="L1204" s="302">
        <f t="shared" si="438"/>
        <v>1.2789079535577863</v>
      </c>
      <c r="M1204" s="236"/>
      <c r="N1204" s="236"/>
    </row>
    <row r="1205" spans="1:14" x14ac:dyDescent="0.2">
      <c r="A1205" s="237" t="str">
        <f>name!E$10</f>
        <v>Sales and customer service occupations</v>
      </c>
      <c r="B1205" s="302">
        <v>0.39535816524050393</v>
      </c>
      <c r="C1205" s="302">
        <v>0.30700215081588061</v>
      </c>
      <c r="D1205" s="302">
        <f t="shared" si="436"/>
        <v>0.70236031605638449</v>
      </c>
      <c r="E1205" s="303"/>
      <c r="F1205" s="302">
        <v>0.26716399471266522</v>
      </c>
      <c r="G1205" s="302">
        <v>0.23137364217091047</v>
      </c>
      <c r="H1205" s="302">
        <f t="shared" si="437"/>
        <v>0.49853763688357566</v>
      </c>
      <c r="I1205" s="303"/>
      <c r="J1205" s="302">
        <v>0.33595340038879645</v>
      </c>
      <c r="K1205" s="302">
        <v>0.27485755892359143</v>
      </c>
      <c r="L1205" s="302">
        <f t="shared" si="438"/>
        <v>0.61081095931238782</v>
      </c>
      <c r="M1205" s="236"/>
      <c r="N1205" s="236"/>
    </row>
    <row r="1206" spans="1:14" x14ac:dyDescent="0.2">
      <c r="A1206" s="237" t="str">
        <f>name!E$11</f>
        <v>Process, plant and machine operatives</v>
      </c>
      <c r="B1206" s="302">
        <v>3.7767950055629947E-2</v>
      </c>
      <c r="C1206" s="302">
        <v>0.13621855732427521</v>
      </c>
      <c r="D1206" s="302">
        <f t="shared" si="436"/>
        <v>0.17398650737990515</v>
      </c>
      <c r="E1206" s="303"/>
      <c r="F1206" s="302">
        <v>2.9425215562695502E-2</v>
      </c>
      <c r="G1206" s="302">
        <v>9.3038610918330766E-2</v>
      </c>
      <c r="H1206" s="302">
        <f t="shared" si="437"/>
        <v>0.12246382648102627</v>
      </c>
      <c r="I1206" s="303"/>
      <c r="J1206" s="302">
        <v>6.6426452923840265E-2</v>
      </c>
      <c r="K1206" s="302">
        <v>0.11744936151924643</v>
      </c>
      <c r="L1206" s="302">
        <f t="shared" si="438"/>
        <v>0.1838758144430867</v>
      </c>
      <c r="M1206" s="236"/>
      <c r="N1206" s="236"/>
    </row>
    <row r="1207" spans="1:14" ht="13.5" customHeight="1" x14ac:dyDescent="0.2">
      <c r="A1207" s="237" t="str">
        <f>name!E$12</f>
        <v>Elementary occupations</v>
      </c>
      <c r="B1207" s="302">
        <v>0.93789775539619824</v>
      </c>
      <c r="C1207" s="302">
        <v>0.64039960453943579</v>
      </c>
      <c r="D1207" s="302">
        <f t="shared" si="436"/>
        <v>1.578297359935634</v>
      </c>
      <c r="E1207" s="303"/>
      <c r="F1207" s="302">
        <v>0.57211112003706077</v>
      </c>
      <c r="G1207" s="302">
        <v>0.48079425553303423</v>
      </c>
      <c r="H1207" s="302">
        <f t="shared" si="437"/>
        <v>1.052905375570095</v>
      </c>
      <c r="I1207" s="303"/>
      <c r="J1207" s="302">
        <v>0.54431673528424329</v>
      </c>
      <c r="K1207" s="302">
        <v>0.45407605279994018</v>
      </c>
      <c r="L1207" s="302">
        <f t="shared" si="438"/>
        <v>0.99839278808418341</v>
      </c>
      <c r="M1207" s="236"/>
      <c r="N1207" s="236"/>
    </row>
    <row r="1208" spans="1:14" ht="13.5" customHeight="1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2">
      <c r="A1209" s="244" t="s">
        <v>32</v>
      </c>
      <c r="B1209" s="311">
        <f>SUM(B1199:B1207)</f>
        <v>9.3280000001135228</v>
      </c>
      <c r="C1209" s="311">
        <f t="shared" ref="C1209:D1209" si="439">SUM(C1199:C1207)</f>
        <v>9.9790000001846089</v>
      </c>
      <c r="D1209" s="311">
        <f t="shared" si="439"/>
        <v>19.307000000298132</v>
      </c>
      <c r="E1209" s="311"/>
      <c r="F1209" s="311">
        <f t="shared" ref="F1209:H1209" si="440">SUM(F1199:F1207)</f>
        <v>8.288999999842634</v>
      </c>
      <c r="G1209" s="311">
        <f t="shared" si="440"/>
        <v>6.4230000000750804</v>
      </c>
      <c r="H1209" s="311">
        <f t="shared" si="440"/>
        <v>14.711999999917715</v>
      </c>
      <c r="I1209" s="311"/>
      <c r="J1209" s="311">
        <f t="shared" ref="J1209:L1209" si="441">SUM(J1199:J1207)</f>
        <v>10.865000000090925</v>
      </c>
      <c r="K1209" s="311">
        <f t="shared" si="441"/>
        <v>7.5580000001879695</v>
      </c>
      <c r="L1209" s="311">
        <f t="shared" si="441"/>
        <v>18.423000000278897</v>
      </c>
      <c r="M1209" s="236"/>
      <c r="N1209" s="236"/>
    </row>
    <row r="1210" spans="1:14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2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2">
      <c r="A1213" s="241" t="str">
        <f>name!A74</f>
        <v>Gambling and betting</v>
      </c>
      <c r="B1213" s="372">
        <f>B$6</f>
        <v>2015</v>
      </c>
      <c r="C1213" s="372"/>
      <c r="D1213" s="372"/>
      <c r="E1213" s="253"/>
      <c r="F1213" s="372">
        <f>F$6</f>
        <v>2020</v>
      </c>
      <c r="G1213" s="372"/>
      <c r="H1213" s="372"/>
      <c r="I1213" s="253"/>
      <c r="J1213" s="372">
        <f>J$6</f>
        <v>2035</v>
      </c>
      <c r="K1213" s="372"/>
      <c r="L1213" s="372"/>
      <c r="M1213" s="236"/>
      <c r="N1213" s="236"/>
    </row>
    <row r="1214" spans="1:14" x14ac:dyDescent="0.2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2">
      <c r="A1216" s="237" t="str">
        <f>name!E$4</f>
        <v>Managers, directors and senior officials</v>
      </c>
      <c r="B1216" s="302">
        <v>0.15689929057956323</v>
      </c>
      <c r="C1216" s="302">
        <v>0.37806361912896258</v>
      </c>
      <c r="D1216" s="302">
        <f>SUM(B1216:C1216)</f>
        <v>0.53496290970852578</v>
      </c>
      <c r="E1216" s="303"/>
      <c r="F1216" s="302">
        <v>0.13084331139806329</v>
      </c>
      <c r="G1216" s="302">
        <v>0.40155005956770151</v>
      </c>
      <c r="H1216" s="302">
        <f>SUM(F1216:G1216)</f>
        <v>0.53239337096576478</v>
      </c>
      <c r="I1216" s="303"/>
      <c r="J1216" s="302">
        <v>0.20317309734428932</v>
      </c>
      <c r="K1216" s="302">
        <v>0.63956640353798322</v>
      </c>
      <c r="L1216" s="302">
        <f>SUM(J1216:K1216)</f>
        <v>0.84273950088227256</v>
      </c>
      <c r="M1216" s="236"/>
      <c r="N1216" s="236"/>
    </row>
    <row r="1217" spans="1:14" x14ac:dyDescent="0.2">
      <c r="A1217" s="237" t="str">
        <f>name!E$5</f>
        <v>Professional occupations</v>
      </c>
      <c r="B1217" s="302">
        <v>0.36731056943186402</v>
      </c>
      <c r="C1217" s="302">
        <v>0.4626262075313472</v>
      </c>
      <c r="D1217" s="302">
        <f t="shared" ref="D1217:D1224" si="442">SUM(B1217:C1217)</f>
        <v>0.82993677696321122</v>
      </c>
      <c r="E1217" s="303"/>
      <c r="F1217" s="302">
        <v>0.31242306019893024</v>
      </c>
      <c r="G1217" s="302">
        <v>0.52036029328234845</v>
      </c>
      <c r="H1217" s="302">
        <f t="shared" ref="H1217:H1224" si="443">SUM(F1217:G1217)</f>
        <v>0.83278335348127874</v>
      </c>
      <c r="I1217" s="303"/>
      <c r="J1217" s="302">
        <v>0.43712723075919785</v>
      </c>
      <c r="K1217" s="302">
        <v>0.87783753684823251</v>
      </c>
      <c r="L1217" s="302">
        <f t="shared" ref="L1217:L1224" si="444">SUM(J1217:K1217)</f>
        <v>1.3149647676074303</v>
      </c>
      <c r="M1217" s="236"/>
      <c r="N1217" s="236"/>
    </row>
    <row r="1218" spans="1:14" x14ac:dyDescent="0.2">
      <c r="A1218" s="237" t="str">
        <f>name!E$6</f>
        <v>Associate professional occupations</v>
      </c>
      <c r="B1218" s="302">
        <v>0.65845051380453257</v>
      </c>
      <c r="C1218" s="302">
        <v>0.95449912879644583</v>
      </c>
      <c r="D1218" s="302">
        <f t="shared" si="442"/>
        <v>1.6129496426009784</v>
      </c>
      <c r="E1218" s="303"/>
      <c r="F1218" s="302">
        <v>0.56309926226031048</v>
      </c>
      <c r="G1218" s="302">
        <v>0.89616678555021978</v>
      </c>
      <c r="H1218" s="302">
        <f t="shared" si="443"/>
        <v>1.4592660478105302</v>
      </c>
      <c r="I1218" s="303"/>
      <c r="J1218" s="302">
        <v>0.78487304127545143</v>
      </c>
      <c r="K1218" s="302">
        <v>1.3092949029651495</v>
      </c>
      <c r="L1218" s="302">
        <f t="shared" si="444"/>
        <v>2.0941679442406009</v>
      </c>
      <c r="M1218" s="236"/>
      <c r="N1218" s="236"/>
    </row>
    <row r="1219" spans="1:14" x14ac:dyDescent="0.2">
      <c r="A1219" s="237" t="str">
        <f>name!E$7</f>
        <v>Administrative and secretarial occupations</v>
      </c>
      <c r="B1219" s="302">
        <v>0.35413117609359929</v>
      </c>
      <c r="C1219" s="302">
        <v>0.10943515947059843</v>
      </c>
      <c r="D1219" s="302">
        <f t="shared" si="442"/>
        <v>0.46356633556419768</v>
      </c>
      <c r="E1219" s="303"/>
      <c r="F1219" s="302">
        <v>0.24671737325710238</v>
      </c>
      <c r="G1219" s="302">
        <v>0.10736348737631805</v>
      </c>
      <c r="H1219" s="302">
        <f t="shared" si="443"/>
        <v>0.35408086063342042</v>
      </c>
      <c r="I1219" s="303"/>
      <c r="J1219" s="302">
        <v>0.2444516527709521</v>
      </c>
      <c r="K1219" s="302">
        <v>0.16697226015643743</v>
      </c>
      <c r="L1219" s="302">
        <f t="shared" si="444"/>
        <v>0.41142391292738956</v>
      </c>
      <c r="M1219" s="236"/>
      <c r="N1219" s="236"/>
    </row>
    <row r="1220" spans="1:14" x14ac:dyDescent="0.2">
      <c r="A1220" s="237" t="str">
        <f>name!E$8</f>
        <v>Skilled trades occupations</v>
      </c>
      <c r="B1220" s="302">
        <v>7.7403750640548136E-2</v>
      </c>
      <c r="C1220" s="302">
        <v>0.52446923275067481</v>
      </c>
      <c r="D1220" s="302">
        <f t="shared" si="442"/>
        <v>0.60187298339122297</v>
      </c>
      <c r="E1220" s="303"/>
      <c r="F1220" s="302">
        <v>6.1770359624532381E-2</v>
      </c>
      <c r="G1220" s="302">
        <v>0.42202100945501825</v>
      </c>
      <c r="H1220" s="302">
        <f t="shared" si="443"/>
        <v>0.48379136907955061</v>
      </c>
      <c r="I1220" s="303"/>
      <c r="J1220" s="302">
        <v>9.7218086776481874E-2</v>
      </c>
      <c r="K1220" s="302">
        <v>0.52751017125788913</v>
      </c>
      <c r="L1220" s="302">
        <f t="shared" si="444"/>
        <v>0.62472825803437104</v>
      </c>
      <c r="M1220" s="236"/>
      <c r="N1220" s="236"/>
    </row>
    <row r="1221" spans="1:14" x14ac:dyDescent="0.2">
      <c r="A1221" s="237" t="str">
        <f>name!E$9</f>
        <v>Caring, leisure and other service occupations</v>
      </c>
      <c r="B1221" s="302">
        <v>0.24337998357954271</v>
      </c>
      <c r="C1221" s="302">
        <v>0.26166568786855682</v>
      </c>
      <c r="D1221" s="302">
        <f t="shared" si="442"/>
        <v>0.50504567144809953</v>
      </c>
      <c r="E1221" s="303"/>
      <c r="F1221" s="302">
        <v>0.15586515482017874</v>
      </c>
      <c r="G1221" s="302">
        <v>0.25267710604086591</v>
      </c>
      <c r="H1221" s="302">
        <f t="shared" si="443"/>
        <v>0.40854226086104461</v>
      </c>
      <c r="I1221" s="303"/>
      <c r="J1221" s="302">
        <v>0.1908404084113475</v>
      </c>
      <c r="K1221" s="302">
        <v>0.39999231694838128</v>
      </c>
      <c r="L1221" s="302">
        <f t="shared" si="444"/>
        <v>0.59083272535972875</v>
      </c>
      <c r="M1221" s="236"/>
      <c r="N1221" s="236"/>
    </row>
    <row r="1222" spans="1:14" x14ac:dyDescent="0.2">
      <c r="A1222" s="237" t="str">
        <f>name!E$10</f>
        <v>Sales and customer service occupations</v>
      </c>
      <c r="B1222" s="302">
        <v>0.10335495684943476</v>
      </c>
      <c r="C1222" s="302">
        <v>0.16500071772346869</v>
      </c>
      <c r="D1222" s="302">
        <f t="shared" si="442"/>
        <v>0.26835567457290344</v>
      </c>
      <c r="E1222" s="303"/>
      <c r="F1222" s="302">
        <v>6.5496882191092037E-2</v>
      </c>
      <c r="G1222" s="302">
        <v>0.15752257350671484</v>
      </c>
      <c r="H1222" s="302">
        <f t="shared" si="443"/>
        <v>0.22301945569780687</v>
      </c>
      <c r="I1222" s="303"/>
      <c r="J1222" s="302">
        <v>8.0451226463704673E-2</v>
      </c>
      <c r="K1222" s="302">
        <v>0.22506038611821544</v>
      </c>
      <c r="L1222" s="302">
        <f t="shared" si="444"/>
        <v>0.30551161258192011</v>
      </c>
      <c r="M1222" s="236"/>
      <c r="N1222" s="236"/>
    </row>
    <row r="1223" spans="1:14" x14ac:dyDescent="0.2">
      <c r="A1223" s="237" t="str">
        <f>name!E$11</f>
        <v>Process, plant and machine operatives</v>
      </c>
      <c r="B1223" s="302">
        <v>9.4446972617579627E-3</v>
      </c>
      <c r="C1223" s="302">
        <v>7.7207827818267849E-2</v>
      </c>
      <c r="D1223" s="302">
        <f t="shared" si="442"/>
        <v>8.6652525080025813E-2</v>
      </c>
      <c r="E1223" s="303"/>
      <c r="F1223" s="302">
        <v>5.9926308895008086E-3</v>
      </c>
      <c r="G1223" s="302">
        <v>6.5072040175653101E-2</v>
      </c>
      <c r="H1223" s="302">
        <f t="shared" si="443"/>
        <v>7.1064671065153906E-2</v>
      </c>
      <c r="I1223" s="303"/>
      <c r="J1223" s="302">
        <v>1.4311711022675191E-2</v>
      </c>
      <c r="K1223" s="302">
        <v>9.4582333679022509E-2</v>
      </c>
      <c r="L1223" s="302">
        <f t="shared" si="444"/>
        <v>0.1088940447016977</v>
      </c>
      <c r="M1223" s="236"/>
      <c r="N1223" s="236"/>
    </row>
    <row r="1224" spans="1:14" x14ac:dyDescent="0.2">
      <c r="A1224" s="237" t="str">
        <f>name!E$12</f>
        <v>Elementary occupations</v>
      </c>
      <c r="B1224" s="302">
        <v>0.20162506178009607</v>
      </c>
      <c r="C1224" s="302">
        <v>0.46603241893960545</v>
      </c>
      <c r="D1224" s="302">
        <f t="shared" si="442"/>
        <v>0.66765748071970155</v>
      </c>
      <c r="E1224" s="303"/>
      <c r="F1224" s="302">
        <v>0.1357919653380579</v>
      </c>
      <c r="G1224" s="302">
        <v>0.37326664506216256</v>
      </c>
      <c r="H1224" s="302">
        <f t="shared" si="443"/>
        <v>0.50905861040022049</v>
      </c>
      <c r="I1224" s="303"/>
      <c r="J1224" s="302">
        <v>0.12755354518911838</v>
      </c>
      <c r="K1224" s="302">
        <v>0.4101836885507717</v>
      </c>
      <c r="L1224" s="302">
        <f t="shared" si="444"/>
        <v>0.53773723373989002</v>
      </c>
      <c r="M1224" s="236"/>
      <c r="N1224" s="236"/>
    </row>
    <row r="1225" spans="1:14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2">
      <c r="A1226" s="244" t="s">
        <v>32</v>
      </c>
      <c r="B1226" s="311">
        <f>SUM(B1216:B1224)</f>
        <v>2.1720000000209385</v>
      </c>
      <c r="C1226" s="311">
        <f t="shared" ref="C1226:D1226" si="445">SUM(C1216:C1224)</f>
        <v>3.399000000027927</v>
      </c>
      <c r="D1226" s="311">
        <f t="shared" si="445"/>
        <v>5.5710000000488673</v>
      </c>
      <c r="E1226" s="311"/>
      <c r="F1226" s="311">
        <f t="shared" ref="F1226:H1226" si="446">SUM(F1216:F1224)</f>
        <v>1.6779999999777686</v>
      </c>
      <c r="G1226" s="311">
        <f t="shared" si="446"/>
        <v>3.1960000000170026</v>
      </c>
      <c r="H1226" s="311">
        <f t="shared" si="446"/>
        <v>4.873999999994771</v>
      </c>
      <c r="I1226" s="311"/>
      <c r="J1226" s="311">
        <f t="shared" ref="J1226:L1226" si="447">SUM(J1216:J1224)</f>
        <v>2.1800000000132185</v>
      </c>
      <c r="K1226" s="311">
        <f t="shared" si="447"/>
        <v>4.6510000000620826</v>
      </c>
      <c r="L1226" s="311">
        <f t="shared" si="447"/>
        <v>6.8310000000753011</v>
      </c>
      <c r="M1226" s="236"/>
      <c r="N1226" s="236"/>
    </row>
    <row r="1227" spans="1:14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2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2">
      <c r="A1230" s="241" t="str">
        <f>name!A75</f>
        <v>Sport and recreation</v>
      </c>
      <c r="B1230" s="372">
        <f>B$6</f>
        <v>2015</v>
      </c>
      <c r="C1230" s="372"/>
      <c r="D1230" s="372"/>
      <c r="E1230" s="253"/>
      <c r="F1230" s="372">
        <f>F$6</f>
        <v>2020</v>
      </c>
      <c r="G1230" s="372"/>
      <c r="H1230" s="372"/>
      <c r="I1230" s="253"/>
      <c r="J1230" s="372">
        <f>J$6</f>
        <v>2035</v>
      </c>
      <c r="K1230" s="372"/>
      <c r="L1230" s="372"/>
      <c r="M1230" s="236"/>
      <c r="N1230" s="236"/>
    </row>
    <row r="1231" spans="1:14" x14ac:dyDescent="0.2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2">
      <c r="A1233" s="237" t="str">
        <f>name!E$4</f>
        <v>Managers, directors and senior officials</v>
      </c>
      <c r="B1233" s="302">
        <v>1.5111103385600071</v>
      </c>
      <c r="C1233" s="302">
        <v>1.9784480031043279</v>
      </c>
      <c r="D1233" s="302">
        <f>SUM(B1233:C1233)</f>
        <v>3.4895583416643348</v>
      </c>
      <c r="E1233" s="303"/>
      <c r="F1233" s="302">
        <v>1.7576467438999848</v>
      </c>
      <c r="G1233" s="302">
        <v>2.5777379847438624</v>
      </c>
      <c r="H1233" s="302">
        <f>SUM(F1233:G1233)</f>
        <v>4.3353847286438469</v>
      </c>
      <c r="I1233" s="303"/>
      <c r="J1233" s="302">
        <v>2.8377432747833535</v>
      </c>
      <c r="K1233" s="302">
        <v>4.255382135252372</v>
      </c>
      <c r="L1233" s="302">
        <f>SUM(J1233:K1233)</f>
        <v>7.0931254100357251</v>
      </c>
      <c r="M1233" s="236"/>
      <c r="N1233" s="236"/>
    </row>
    <row r="1234" spans="1:14" x14ac:dyDescent="0.2">
      <c r="A1234" s="237" t="str">
        <f>name!E$5</f>
        <v>Professional occupations</v>
      </c>
      <c r="B1234" s="302">
        <v>3.5075420262767967</v>
      </c>
      <c r="C1234" s="302">
        <v>2.7572422278107078</v>
      </c>
      <c r="D1234" s="302">
        <f t="shared" ref="D1234:D1241" si="448">SUM(B1234:C1234)</f>
        <v>6.2647842540875045</v>
      </c>
      <c r="E1234" s="303"/>
      <c r="F1234" s="302">
        <v>4.0563175269396243</v>
      </c>
      <c r="G1234" s="302">
        <v>3.7149384410436279</v>
      </c>
      <c r="H1234" s="302">
        <f t="shared" ref="H1234:H1241" si="449">SUM(F1234:G1234)</f>
        <v>7.7712559679832527</v>
      </c>
      <c r="I1234" s="303"/>
      <c r="J1234" s="302">
        <v>5.8542928489257031</v>
      </c>
      <c r="K1234" s="302">
        <v>6.3510580638766108</v>
      </c>
      <c r="L1234" s="302">
        <f t="shared" ref="L1234:L1241" si="450">SUM(J1234:K1234)</f>
        <v>12.205350912802313</v>
      </c>
      <c r="M1234" s="236"/>
      <c r="N1234" s="236"/>
    </row>
    <row r="1235" spans="1:14" x14ac:dyDescent="0.2">
      <c r="A1235" s="237" t="str">
        <f>name!E$6</f>
        <v>Associate professional occupations</v>
      </c>
      <c r="B1235" s="302">
        <v>6.5545664743671974</v>
      </c>
      <c r="C1235" s="302">
        <v>6.4716970917278624</v>
      </c>
      <c r="D1235" s="302">
        <f t="shared" si="448"/>
        <v>13.026263566095061</v>
      </c>
      <c r="E1235" s="303"/>
      <c r="F1235" s="302">
        <v>7.0467008858170654</v>
      </c>
      <c r="G1235" s="302">
        <v>7.1052639672459996</v>
      </c>
      <c r="H1235" s="302">
        <f t="shared" si="449"/>
        <v>14.151964853063065</v>
      </c>
      <c r="I1235" s="303"/>
      <c r="J1235" s="302">
        <v>10.253300256484572</v>
      </c>
      <c r="K1235" s="302">
        <v>10.553099746205746</v>
      </c>
      <c r="L1235" s="302">
        <f t="shared" si="450"/>
        <v>20.806400002690317</v>
      </c>
      <c r="M1235" s="236"/>
      <c r="N1235" s="236"/>
    </row>
    <row r="1236" spans="1:14" x14ac:dyDescent="0.2">
      <c r="A1236" s="237" t="str">
        <f>name!E$7</f>
        <v>Administrative and secretarial occupations</v>
      </c>
      <c r="B1236" s="302">
        <v>4.587278061328611</v>
      </c>
      <c r="C1236" s="302">
        <v>0.50886768909974012</v>
      </c>
      <c r="D1236" s="302">
        <f t="shared" si="448"/>
        <v>5.0961457504283514</v>
      </c>
      <c r="E1236" s="303"/>
      <c r="F1236" s="302">
        <v>4.2304611729742714</v>
      </c>
      <c r="G1236" s="302">
        <v>0.6285980659017073</v>
      </c>
      <c r="H1236" s="302">
        <f t="shared" si="449"/>
        <v>4.8590592388759788</v>
      </c>
      <c r="I1236" s="303"/>
      <c r="J1236" s="302">
        <v>4.3505062585357788</v>
      </c>
      <c r="K1236" s="302">
        <v>0.94802069193397653</v>
      </c>
      <c r="L1236" s="302">
        <f t="shared" si="450"/>
        <v>5.2985269504697552</v>
      </c>
      <c r="M1236" s="236"/>
      <c r="N1236" s="236"/>
    </row>
    <row r="1237" spans="1:14" x14ac:dyDescent="0.2">
      <c r="A1237" s="237" t="str">
        <f>name!E$8</f>
        <v>Skilled trades occupations</v>
      </c>
      <c r="B1237" s="302">
        <v>0.69476125110905118</v>
      </c>
      <c r="C1237" s="302">
        <v>2.8580751761841299</v>
      </c>
      <c r="D1237" s="302">
        <f t="shared" si="448"/>
        <v>3.5528364272931809</v>
      </c>
      <c r="E1237" s="303"/>
      <c r="F1237" s="302">
        <v>0.68666476602258053</v>
      </c>
      <c r="G1237" s="302">
        <v>2.7777039920175612</v>
      </c>
      <c r="H1237" s="302">
        <f t="shared" si="449"/>
        <v>3.4643687580401417</v>
      </c>
      <c r="I1237" s="303"/>
      <c r="J1237" s="302">
        <v>1.1036192881481848</v>
      </c>
      <c r="K1237" s="302">
        <v>3.7418652595892548</v>
      </c>
      <c r="L1237" s="302">
        <f t="shared" si="450"/>
        <v>4.8454845477374393</v>
      </c>
      <c r="M1237" s="236"/>
      <c r="N1237" s="236"/>
    </row>
    <row r="1238" spans="1:14" x14ac:dyDescent="0.2">
      <c r="A1238" s="237" t="str">
        <f>name!E$9</f>
        <v>Caring, leisure and other service occupations</v>
      </c>
      <c r="B1238" s="302">
        <v>4.659180344602186</v>
      </c>
      <c r="C1238" s="302">
        <v>2.0311102167351129</v>
      </c>
      <c r="D1238" s="302">
        <f t="shared" si="448"/>
        <v>6.6902905613372994</v>
      </c>
      <c r="E1238" s="303"/>
      <c r="F1238" s="302">
        <v>3.9054128910844841</v>
      </c>
      <c r="G1238" s="302">
        <v>2.4222302699592939</v>
      </c>
      <c r="H1238" s="302">
        <f t="shared" si="449"/>
        <v>6.3276431610437776</v>
      </c>
      <c r="I1238" s="303"/>
      <c r="J1238" s="302">
        <v>4.8724060466937198</v>
      </c>
      <c r="K1238" s="302">
        <v>3.9690524509079941</v>
      </c>
      <c r="L1238" s="302">
        <f t="shared" si="450"/>
        <v>8.8414584976017139</v>
      </c>
      <c r="M1238" s="236"/>
      <c r="N1238" s="236"/>
    </row>
    <row r="1239" spans="1:14" x14ac:dyDescent="0.2">
      <c r="A1239" s="237" t="str">
        <f>name!E$10</f>
        <v>Sales and customer service occupations</v>
      </c>
      <c r="B1239" s="302">
        <v>1.1844695818717585</v>
      </c>
      <c r="C1239" s="302">
        <v>1.1158719099193439</v>
      </c>
      <c r="D1239" s="302">
        <f t="shared" si="448"/>
        <v>2.3003414917911025</v>
      </c>
      <c r="E1239" s="303"/>
      <c r="F1239" s="302">
        <v>1.031169004744513</v>
      </c>
      <c r="G1239" s="302">
        <v>1.2465560840885763</v>
      </c>
      <c r="H1239" s="302">
        <f t="shared" si="449"/>
        <v>2.2777250888330896</v>
      </c>
      <c r="I1239" s="303"/>
      <c r="J1239" s="302">
        <v>1.3222682002954225</v>
      </c>
      <c r="K1239" s="302">
        <v>1.726572775870453</v>
      </c>
      <c r="L1239" s="302">
        <f t="shared" si="450"/>
        <v>3.0488409761658755</v>
      </c>
      <c r="M1239" s="236"/>
      <c r="N1239" s="236"/>
    </row>
    <row r="1240" spans="1:14" x14ac:dyDescent="0.2">
      <c r="A1240" s="237" t="str">
        <f>name!E$11</f>
        <v>Process, plant and machine operatives</v>
      </c>
      <c r="B1240" s="302">
        <v>0.12169319323386966</v>
      </c>
      <c r="C1240" s="302">
        <v>0.54043513056923553</v>
      </c>
      <c r="D1240" s="302">
        <f t="shared" si="448"/>
        <v>0.66212832380310516</v>
      </c>
      <c r="E1240" s="303"/>
      <c r="F1240" s="302">
        <v>9.8010276019197956E-2</v>
      </c>
      <c r="G1240" s="302">
        <v>0.59549923405717886</v>
      </c>
      <c r="H1240" s="302">
        <f t="shared" si="449"/>
        <v>0.69350951007637684</v>
      </c>
      <c r="I1240" s="303"/>
      <c r="J1240" s="302">
        <v>0.25914337558878897</v>
      </c>
      <c r="K1240" s="302">
        <v>0.85765310354688518</v>
      </c>
      <c r="L1240" s="302">
        <f t="shared" si="450"/>
        <v>1.1167964791356741</v>
      </c>
      <c r="M1240" s="236"/>
      <c r="N1240" s="236"/>
    </row>
    <row r="1241" spans="1:14" x14ac:dyDescent="0.2">
      <c r="A1241" s="237" t="str">
        <f>name!E$12</f>
        <v>Elementary occupations</v>
      </c>
      <c r="B1241" s="302">
        <v>3.2603987288018597</v>
      </c>
      <c r="C1241" s="302">
        <v>3.3512525551183816</v>
      </c>
      <c r="D1241" s="302">
        <f t="shared" si="448"/>
        <v>6.6116512839202413</v>
      </c>
      <c r="E1241" s="303"/>
      <c r="F1241" s="302">
        <v>2.6516167322977098</v>
      </c>
      <c r="G1241" s="302">
        <v>3.1694719611480489</v>
      </c>
      <c r="H1241" s="302">
        <f t="shared" si="449"/>
        <v>5.8210886934457591</v>
      </c>
      <c r="I1241" s="303"/>
      <c r="J1241" s="302">
        <v>2.5137204506316686</v>
      </c>
      <c r="K1241" s="302">
        <v>3.6442957734973751</v>
      </c>
      <c r="L1241" s="302">
        <f t="shared" si="450"/>
        <v>6.1580162241290441</v>
      </c>
      <c r="M1241" s="236"/>
      <c r="N1241" s="236"/>
    </row>
    <row r="1242" spans="1:14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2">
      <c r="A1243" s="244" t="s">
        <v>32</v>
      </c>
      <c r="B1243" s="311">
        <f>SUM(B1233:B1241)</f>
        <v>26.081000000151338</v>
      </c>
      <c r="C1243" s="311">
        <f t="shared" ref="C1243:D1243" si="451">SUM(C1233:C1241)</f>
        <v>21.613000000268844</v>
      </c>
      <c r="D1243" s="311">
        <f t="shared" si="451"/>
        <v>47.694000000420175</v>
      </c>
      <c r="E1243" s="311"/>
      <c r="F1243" s="311">
        <f t="shared" ref="F1243:H1243" si="452">SUM(F1233:F1241)</f>
        <v>25.463999999799434</v>
      </c>
      <c r="G1243" s="311">
        <f t="shared" si="452"/>
        <v>24.238000000205858</v>
      </c>
      <c r="H1243" s="311">
        <f t="shared" si="452"/>
        <v>49.702000000005285</v>
      </c>
      <c r="I1243" s="311"/>
      <c r="J1243" s="311">
        <f t="shared" ref="J1243:L1243" si="453">SUM(J1233:J1241)</f>
        <v>33.367000000087195</v>
      </c>
      <c r="K1243" s="311">
        <f t="shared" si="453"/>
        <v>36.047000000680669</v>
      </c>
      <c r="L1243" s="311">
        <f t="shared" si="453"/>
        <v>69.414000000767857</v>
      </c>
      <c r="M1243" s="236"/>
      <c r="N1243" s="236"/>
    </row>
    <row r="1244" spans="1:14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2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2">
      <c r="A1247" s="241" t="str">
        <f>name!A76</f>
        <v>Membership organisations</v>
      </c>
      <c r="B1247" s="372">
        <f>B$6</f>
        <v>2015</v>
      </c>
      <c r="C1247" s="372"/>
      <c r="D1247" s="372"/>
      <c r="E1247" s="253"/>
      <c r="F1247" s="372">
        <f>F$6</f>
        <v>2020</v>
      </c>
      <c r="G1247" s="372"/>
      <c r="H1247" s="372"/>
      <c r="I1247" s="253"/>
      <c r="J1247" s="372">
        <f>J$6</f>
        <v>2035</v>
      </c>
      <c r="K1247" s="372"/>
      <c r="L1247" s="372"/>
      <c r="M1247" s="236"/>
      <c r="N1247" s="236"/>
    </row>
    <row r="1248" spans="1:14" x14ac:dyDescent="0.2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2">
      <c r="A1250" s="237" t="str">
        <f>name!E$4</f>
        <v>Managers, directors and senior officials</v>
      </c>
      <c r="B1250" s="302">
        <v>1.7382343681009629</v>
      </c>
      <c r="C1250" s="302">
        <v>0.77566767454663343</v>
      </c>
      <c r="D1250" s="302">
        <f>SUM(B1250:C1250)</f>
        <v>2.5139020426475964</v>
      </c>
      <c r="E1250" s="303"/>
      <c r="F1250" s="302">
        <v>2.069589396338718</v>
      </c>
      <c r="G1250" s="302">
        <v>0.90177663871818203</v>
      </c>
      <c r="H1250" s="302">
        <f>SUM(F1250:G1250)</f>
        <v>2.9713660350569002</v>
      </c>
      <c r="I1250" s="303"/>
      <c r="J1250" s="302">
        <v>2.4352736021941124</v>
      </c>
      <c r="K1250" s="302">
        <v>1.0521688647781584</v>
      </c>
      <c r="L1250" s="302">
        <f>SUM(J1250:K1250)</f>
        <v>3.4874424669722708</v>
      </c>
      <c r="M1250" s="236"/>
      <c r="N1250" s="236"/>
    </row>
    <row r="1251" spans="1:14" x14ac:dyDescent="0.2">
      <c r="A1251" s="237" t="str">
        <f>name!E$5</f>
        <v>Professional occupations</v>
      </c>
      <c r="B1251" s="302">
        <v>6.5835330835302974</v>
      </c>
      <c r="C1251" s="302">
        <v>3.5034643993927985</v>
      </c>
      <c r="D1251" s="302">
        <f t="shared" ref="D1251:D1258" si="454">SUM(B1251:C1251)</f>
        <v>10.086997482923096</v>
      </c>
      <c r="E1251" s="303"/>
      <c r="F1251" s="302">
        <v>7.2069375131430231</v>
      </c>
      <c r="G1251" s="302">
        <v>4.0820575647298476</v>
      </c>
      <c r="H1251" s="302">
        <f t="shared" ref="H1251:H1258" si="455">SUM(F1251:G1251)</f>
        <v>11.288995077872871</v>
      </c>
      <c r="I1251" s="303"/>
      <c r="J1251" s="302">
        <v>7.8965207787470488</v>
      </c>
      <c r="K1251" s="302">
        <v>4.967429915360114</v>
      </c>
      <c r="L1251" s="302">
        <f t="shared" ref="L1251:L1258" si="456">SUM(J1251:K1251)</f>
        <v>12.863950694107164</v>
      </c>
      <c r="M1251" s="236"/>
      <c r="N1251" s="236"/>
    </row>
    <row r="1252" spans="1:14" x14ac:dyDescent="0.2">
      <c r="A1252" s="237" t="str">
        <f>name!E$6</f>
        <v>Associate professional occupations</v>
      </c>
      <c r="B1252" s="302">
        <v>4.9080550523839088</v>
      </c>
      <c r="C1252" s="302">
        <v>1.0323789957118339</v>
      </c>
      <c r="D1252" s="302">
        <f t="shared" si="454"/>
        <v>5.9404340480957423</v>
      </c>
      <c r="E1252" s="303"/>
      <c r="F1252" s="302">
        <v>4.7871842778680254</v>
      </c>
      <c r="G1252" s="302">
        <v>1.3419166401670237</v>
      </c>
      <c r="H1252" s="302">
        <f t="shared" si="455"/>
        <v>6.1291009180350491</v>
      </c>
      <c r="I1252" s="303"/>
      <c r="J1252" s="302">
        <v>5.4281856563395978</v>
      </c>
      <c r="K1252" s="302">
        <v>1.2166464592446116</v>
      </c>
      <c r="L1252" s="302">
        <f t="shared" si="456"/>
        <v>6.6448321155842098</v>
      </c>
      <c r="M1252" s="236"/>
      <c r="N1252" s="236"/>
    </row>
    <row r="1253" spans="1:14" x14ac:dyDescent="0.2">
      <c r="A1253" s="237" t="str">
        <f>name!E$7</f>
        <v>Administrative and secretarial occupations</v>
      </c>
      <c r="B1253" s="302">
        <v>4.9976182128003241</v>
      </c>
      <c r="C1253" s="302">
        <v>0.37062160788318549</v>
      </c>
      <c r="D1253" s="302">
        <f t="shared" si="454"/>
        <v>5.3682398206835096</v>
      </c>
      <c r="E1253" s="303"/>
      <c r="F1253" s="302">
        <v>3.8428114796970143</v>
      </c>
      <c r="G1253" s="302">
        <v>0.33723429259428067</v>
      </c>
      <c r="H1253" s="302">
        <f t="shared" si="455"/>
        <v>4.1800457722912947</v>
      </c>
      <c r="I1253" s="303"/>
      <c r="J1253" s="302">
        <v>2.7273062426510952</v>
      </c>
      <c r="K1253" s="302">
        <v>0.39537151613093441</v>
      </c>
      <c r="L1253" s="302">
        <f t="shared" si="456"/>
        <v>3.1226777587820296</v>
      </c>
      <c r="M1253" s="236"/>
      <c r="N1253" s="236"/>
    </row>
    <row r="1254" spans="1:14" x14ac:dyDescent="0.2">
      <c r="A1254" s="237" t="str">
        <f>name!E$8</f>
        <v>Skilled trades occupations</v>
      </c>
      <c r="B1254" s="302">
        <v>0.44775429933390437</v>
      </c>
      <c r="C1254" s="302">
        <v>0.61955106807672722</v>
      </c>
      <c r="D1254" s="302">
        <f t="shared" si="454"/>
        <v>1.0673053674106316</v>
      </c>
      <c r="E1254" s="303"/>
      <c r="F1254" s="302">
        <v>0.40375667143321009</v>
      </c>
      <c r="G1254" s="302">
        <v>0.52689286014439196</v>
      </c>
      <c r="H1254" s="302">
        <f t="shared" si="455"/>
        <v>0.930649531577602</v>
      </c>
      <c r="I1254" s="303"/>
      <c r="J1254" s="302">
        <v>0.64930519563439359</v>
      </c>
      <c r="K1254" s="302">
        <v>0.63986197238883724</v>
      </c>
      <c r="L1254" s="302">
        <f t="shared" si="456"/>
        <v>1.2891671680232308</v>
      </c>
      <c r="M1254" s="236"/>
      <c r="N1254" s="236"/>
    </row>
    <row r="1255" spans="1:14" x14ac:dyDescent="0.2">
      <c r="A1255" s="237" t="str">
        <f>name!E$9</f>
        <v>Caring, leisure and other service occupations</v>
      </c>
      <c r="B1255" s="302">
        <v>2.7780496842649001</v>
      </c>
      <c r="C1255" s="302">
        <v>0.23511072538596584</v>
      </c>
      <c r="D1255" s="302">
        <f t="shared" si="454"/>
        <v>3.0131604096508657</v>
      </c>
      <c r="E1255" s="303"/>
      <c r="F1255" s="302">
        <v>2.2303693189791467</v>
      </c>
      <c r="G1255" s="302">
        <v>0.31395111306599921</v>
      </c>
      <c r="H1255" s="302">
        <f t="shared" si="455"/>
        <v>2.5443204320451458</v>
      </c>
      <c r="I1255" s="303"/>
      <c r="J1255" s="302">
        <v>2.170365071053578</v>
      </c>
      <c r="K1255" s="302">
        <v>0.42232257617631236</v>
      </c>
      <c r="L1255" s="302">
        <f t="shared" si="456"/>
        <v>2.5926876472298903</v>
      </c>
      <c r="M1255" s="236"/>
      <c r="N1255" s="236"/>
    </row>
    <row r="1256" spans="1:14" x14ac:dyDescent="0.2">
      <c r="A1256" s="237" t="str">
        <f>name!E$10</f>
        <v>Sales and customer service occupations</v>
      </c>
      <c r="B1256" s="302">
        <v>0.66002898341722094</v>
      </c>
      <c r="C1256" s="302">
        <v>0.12764208254874895</v>
      </c>
      <c r="D1256" s="302">
        <f t="shared" si="454"/>
        <v>0.78767106596596992</v>
      </c>
      <c r="E1256" s="303"/>
      <c r="F1256" s="302">
        <v>0.51654983608142702</v>
      </c>
      <c r="G1256" s="302">
        <v>0.12707177634592001</v>
      </c>
      <c r="H1256" s="302">
        <f t="shared" si="455"/>
        <v>0.64362161242734706</v>
      </c>
      <c r="I1256" s="303"/>
      <c r="J1256" s="302">
        <v>0.53253960581102344</v>
      </c>
      <c r="K1256" s="302">
        <v>0.14759538071026679</v>
      </c>
      <c r="L1256" s="302">
        <f t="shared" si="456"/>
        <v>0.68013498652129023</v>
      </c>
      <c r="M1256" s="236"/>
      <c r="N1256" s="236"/>
    </row>
    <row r="1257" spans="1:14" x14ac:dyDescent="0.2">
      <c r="A1257" s="237" t="str">
        <f>name!E$11</f>
        <v>Process, plant and machine operatives</v>
      </c>
      <c r="B1257" s="302">
        <v>0.67229560915162923</v>
      </c>
      <c r="C1257" s="302">
        <v>0.14739439183522177</v>
      </c>
      <c r="D1257" s="302">
        <f t="shared" si="454"/>
        <v>0.81969000098685096</v>
      </c>
      <c r="E1257" s="303"/>
      <c r="F1257" s="302">
        <v>0.49468925331807223</v>
      </c>
      <c r="G1257" s="302">
        <v>0.16663604062000945</v>
      </c>
      <c r="H1257" s="302">
        <f t="shared" si="455"/>
        <v>0.6613252939380817</v>
      </c>
      <c r="I1257" s="303"/>
      <c r="J1257" s="302">
        <v>1.0463939768009878</v>
      </c>
      <c r="K1257" s="302">
        <v>0.16474730618255815</v>
      </c>
      <c r="L1257" s="302">
        <f t="shared" si="456"/>
        <v>1.211141282983546</v>
      </c>
      <c r="M1257" s="236"/>
      <c r="N1257" s="236"/>
    </row>
    <row r="1258" spans="1:14" x14ac:dyDescent="0.2">
      <c r="A1258" s="237" t="str">
        <f>name!E$12</f>
        <v>Elementary occupations</v>
      </c>
      <c r="B1258" s="302">
        <v>3.18543070721568</v>
      </c>
      <c r="C1258" s="302">
        <v>0.30316905461907345</v>
      </c>
      <c r="D1258" s="302">
        <f t="shared" si="454"/>
        <v>3.4885997618347533</v>
      </c>
      <c r="E1258" s="303"/>
      <c r="F1258" s="302">
        <v>1.936112252805501</v>
      </c>
      <c r="G1258" s="302">
        <v>0.38146307352570352</v>
      </c>
      <c r="H1258" s="302">
        <f t="shared" si="455"/>
        <v>2.3175753263312044</v>
      </c>
      <c r="I1258" s="303"/>
      <c r="J1258" s="302">
        <v>1.044109870940696</v>
      </c>
      <c r="K1258" s="302">
        <v>0.28485600899970076</v>
      </c>
      <c r="L1258" s="302">
        <f t="shared" si="456"/>
        <v>1.3289658799403967</v>
      </c>
      <c r="M1258" s="236"/>
      <c r="N1258" s="236"/>
    </row>
    <row r="1259" spans="1:14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2">
      <c r="A1260" s="244" t="s">
        <v>32</v>
      </c>
      <c r="B1260" s="311">
        <f>SUM(B1250:B1258)</f>
        <v>25.971000000198828</v>
      </c>
      <c r="C1260" s="311">
        <f t="shared" ref="C1260:D1260" si="457">SUM(C1250:C1258)</f>
        <v>7.1150000000001876</v>
      </c>
      <c r="D1260" s="311">
        <f t="shared" si="457"/>
        <v>33.086000000199014</v>
      </c>
      <c r="E1260" s="311"/>
      <c r="F1260" s="311">
        <f t="shared" ref="F1260:H1260" si="458">SUM(F1250:F1258)</f>
        <v>23.48799999966414</v>
      </c>
      <c r="G1260" s="311">
        <f t="shared" si="458"/>
        <v>8.1789999999113583</v>
      </c>
      <c r="H1260" s="311">
        <f t="shared" si="458"/>
        <v>31.666999999575495</v>
      </c>
      <c r="I1260" s="311"/>
      <c r="J1260" s="311">
        <f t="shared" ref="J1260:L1260" si="459">SUM(J1250:J1258)</f>
        <v>23.930000000172534</v>
      </c>
      <c r="K1260" s="311">
        <f t="shared" si="459"/>
        <v>9.2909999999714934</v>
      </c>
      <c r="L1260" s="311">
        <f t="shared" si="459"/>
        <v>33.221000000144031</v>
      </c>
      <c r="M1260" s="236"/>
      <c r="N1260" s="236"/>
    </row>
    <row r="1261" spans="1:14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2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2">
      <c r="A1264" s="241" t="str">
        <f>name!A77</f>
        <v>Repair of goods</v>
      </c>
      <c r="B1264" s="372">
        <f>B$6</f>
        <v>2015</v>
      </c>
      <c r="C1264" s="372"/>
      <c r="D1264" s="372"/>
      <c r="E1264" s="253"/>
      <c r="F1264" s="372">
        <f>F$6</f>
        <v>2020</v>
      </c>
      <c r="G1264" s="372"/>
      <c r="H1264" s="372"/>
      <c r="I1264" s="253"/>
      <c r="J1264" s="372">
        <f>J$6</f>
        <v>2035</v>
      </c>
      <c r="K1264" s="372"/>
      <c r="L1264" s="372"/>
      <c r="M1264" s="236"/>
      <c r="N1264" s="236"/>
    </row>
    <row r="1265" spans="1:14" x14ac:dyDescent="0.2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2">
      <c r="A1267" s="237" t="str">
        <f>name!E$4</f>
        <v>Managers, directors and senior officials</v>
      </c>
      <c r="B1267" s="302">
        <v>0.4404102684511968</v>
      </c>
      <c r="C1267" s="302">
        <v>0.8048370025781203</v>
      </c>
      <c r="D1267" s="302">
        <f>SUM(B1267:C1267)</f>
        <v>1.2452472710293172</v>
      </c>
      <c r="E1267" s="303"/>
      <c r="F1267" s="302">
        <v>0.78876739269318663</v>
      </c>
      <c r="G1267" s="302">
        <v>1.6452586534905027</v>
      </c>
      <c r="H1267" s="302">
        <f>SUM(F1267:G1267)</f>
        <v>2.4340260461836891</v>
      </c>
      <c r="I1267" s="303"/>
      <c r="J1267" s="302">
        <v>0.90219621925484783</v>
      </c>
      <c r="K1267" s="302">
        <v>2.2059961550640779</v>
      </c>
      <c r="L1267" s="302">
        <f>SUM(J1267:K1267)</f>
        <v>3.1081923743189259</v>
      </c>
      <c r="M1267" s="236"/>
      <c r="N1267" s="236"/>
    </row>
    <row r="1268" spans="1:14" x14ac:dyDescent="0.2">
      <c r="A1268" s="237" t="str">
        <f>name!E$5</f>
        <v>Professional occupations</v>
      </c>
      <c r="B1268" s="302">
        <v>8.6128858660350291E-2</v>
      </c>
      <c r="C1268" s="302">
        <v>0.73043681075231537</v>
      </c>
      <c r="D1268" s="302">
        <f t="shared" ref="D1268:D1275" si="460">SUM(B1268:C1268)</f>
        <v>0.81656566941266562</v>
      </c>
      <c r="E1268" s="303"/>
      <c r="F1268" s="302">
        <v>0.16797942552931461</v>
      </c>
      <c r="G1268" s="302">
        <v>1.232116141397533</v>
      </c>
      <c r="H1268" s="302">
        <f t="shared" ref="H1268:H1275" si="461">SUM(F1268:G1268)</f>
        <v>1.4000955669268476</v>
      </c>
      <c r="I1268" s="303"/>
      <c r="J1268" s="302">
        <v>0.17735675099340051</v>
      </c>
      <c r="K1268" s="302">
        <v>1.4180454257743873</v>
      </c>
      <c r="L1268" s="302">
        <f t="shared" ref="L1268:L1275" si="462">SUM(J1268:K1268)</f>
        <v>1.5954021767677877</v>
      </c>
      <c r="M1268" s="236"/>
      <c r="N1268" s="236"/>
    </row>
    <row r="1269" spans="1:14" x14ac:dyDescent="0.2">
      <c r="A1269" s="237" t="str">
        <f>name!E$6</f>
        <v>Associate professional occupations</v>
      </c>
      <c r="B1269" s="302">
        <v>8.7246481077077082E-2</v>
      </c>
      <c r="C1269" s="302">
        <v>0.35254745755175004</v>
      </c>
      <c r="D1269" s="302">
        <f t="shared" si="460"/>
        <v>0.4397939386288271</v>
      </c>
      <c r="E1269" s="303"/>
      <c r="F1269" s="302">
        <v>0.13233257158631892</v>
      </c>
      <c r="G1269" s="302">
        <v>0.56538998524612272</v>
      </c>
      <c r="H1269" s="302">
        <f t="shared" si="461"/>
        <v>0.69772255683244166</v>
      </c>
      <c r="I1269" s="303"/>
      <c r="J1269" s="302">
        <v>0.12793695618910075</v>
      </c>
      <c r="K1269" s="302">
        <v>0.55554092072209216</v>
      </c>
      <c r="L1269" s="302">
        <f t="shared" si="462"/>
        <v>0.68347787691119288</v>
      </c>
      <c r="M1269" s="236"/>
      <c r="N1269" s="236"/>
    </row>
    <row r="1270" spans="1:14" x14ac:dyDescent="0.2">
      <c r="A1270" s="237" t="str">
        <f>name!E$7</f>
        <v>Administrative and secretarial occupations</v>
      </c>
      <c r="B1270" s="302">
        <v>8.7476606952640354E-2</v>
      </c>
      <c r="C1270" s="302">
        <v>0.11413781620555898</v>
      </c>
      <c r="D1270" s="302">
        <f t="shared" si="460"/>
        <v>0.20161442315819933</v>
      </c>
      <c r="E1270" s="303"/>
      <c r="F1270" s="302">
        <v>0.13549935422898138</v>
      </c>
      <c r="G1270" s="302">
        <v>0.17744140757398891</v>
      </c>
      <c r="H1270" s="302">
        <f t="shared" si="461"/>
        <v>0.31294076180297026</v>
      </c>
      <c r="I1270" s="303"/>
      <c r="J1270" s="302">
        <v>0.13085585545636341</v>
      </c>
      <c r="K1270" s="302">
        <v>0.20063466917731557</v>
      </c>
      <c r="L1270" s="302">
        <f t="shared" si="462"/>
        <v>0.33149052463367901</v>
      </c>
      <c r="M1270" s="236"/>
      <c r="N1270" s="236"/>
    </row>
    <row r="1271" spans="1:14" x14ac:dyDescent="0.2">
      <c r="A1271" s="237" t="str">
        <f>name!E$8</f>
        <v>Skilled trades occupations</v>
      </c>
      <c r="B1271" s="302">
        <v>0.1278346909298041</v>
      </c>
      <c r="C1271" s="302">
        <v>0.39275017372581761</v>
      </c>
      <c r="D1271" s="302">
        <f t="shared" si="460"/>
        <v>0.5205848646556217</v>
      </c>
      <c r="E1271" s="303"/>
      <c r="F1271" s="302">
        <v>0.2030397925312028</v>
      </c>
      <c r="G1271" s="302">
        <v>0.67789154944880925</v>
      </c>
      <c r="H1271" s="302">
        <f t="shared" si="461"/>
        <v>0.88093134198001199</v>
      </c>
      <c r="I1271" s="303"/>
      <c r="J1271" s="302">
        <v>0.22228138173927939</v>
      </c>
      <c r="K1271" s="302">
        <v>0.88992365045944899</v>
      </c>
      <c r="L1271" s="302">
        <f t="shared" si="462"/>
        <v>1.1122050321987285</v>
      </c>
      <c r="M1271" s="236"/>
      <c r="N1271" s="236"/>
    </row>
    <row r="1272" spans="1:14" x14ac:dyDescent="0.2">
      <c r="A1272" s="237" t="str">
        <f>name!E$9</f>
        <v>Caring, leisure and other service occupations</v>
      </c>
      <c r="B1272" s="302">
        <v>3.1678698726003346E-2</v>
      </c>
      <c r="C1272" s="302">
        <v>2.8207570016010416E-2</v>
      </c>
      <c r="D1272" s="302">
        <f t="shared" si="460"/>
        <v>5.9886268742013762E-2</v>
      </c>
      <c r="E1272" s="303"/>
      <c r="F1272" s="302">
        <v>5.616230488754647E-2</v>
      </c>
      <c r="G1272" s="302">
        <v>5.3035898910508993E-2</v>
      </c>
      <c r="H1272" s="302">
        <f t="shared" si="461"/>
        <v>0.10919820379805546</v>
      </c>
      <c r="I1272" s="303"/>
      <c r="J1272" s="302">
        <v>9.661157453082217E-2</v>
      </c>
      <c r="K1272" s="302">
        <v>8.6719356811085779E-2</v>
      </c>
      <c r="L1272" s="302">
        <f t="shared" si="462"/>
        <v>0.18333093134190795</v>
      </c>
      <c r="M1272" s="236"/>
      <c r="N1272" s="236"/>
    </row>
    <row r="1273" spans="1:14" x14ac:dyDescent="0.2">
      <c r="A1273" s="237" t="str">
        <f>name!E$10</f>
        <v>Sales and customer service occupations</v>
      </c>
      <c r="B1273" s="302">
        <v>0.46211412513995481</v>
      </c>
      <c r="C1273" s="302">
        <v>0.53606077724804846</v>
      </c>
      <c r="D1273" s="302">
        <f t="shared" si="460"/>
        <v>0.99817490238800333</v>
      </c>
      <c r="E1273" s="303"/>
      <c r="F1273" s="302">
        <v>0.80100283077938317</v>
      </c>
      <c r="G1273" s="302">
        <v>1.1056390019347184</v>
      </c>
      <c r="H1273" s="302">
        <f t="shared" si="461"/>
        <v>1.9066418327141017</v>
      </c>
      <c r="I1273" s="303"/>
      <c r="J1273" s="302">
        <v>0.67187252437326228</v>
      </c>
      <c r="K1273" s="302">
        <v>0.99278906802284428</v>
      </c>
      <c r="L1273" s="302">
        <f t="shared" si="462"/>
        <v>1.6646615923961066</v>
      </c>
      <c r="M1273" s="236"/>
      <c r="N1273" s="236"/>
    </row>
    <row r="1274" spans="1:14" x14ac:dyDescent="0.2">
      <c r="A1274" s="237" t="str">
        <f>name!E$11</f>
        <v>Process, plant and machine operatives</v>
      </c>
      <c r="B1274" s="302">
        <v>6.6622498149071334E-3</v>
      </c>
      <c r="C1274" s="302">
        <v>0.14279776628227461</v>
      </c>
      <c r="D1274" s="302">
        <f t="shared" si="460"/>
        <v>0.14946001609718174</v>
      </c>
      <c r="E1274" s="303"/>
      <c r="F1274" s="302">
        <v>1.0895117054060719E-2</v>
      </c>
      <c r="G1274" s="302">
        <v>0.17846960131271783</v>
      </c>
      <c r="H1274" s="302">
        <f t="shared" si="461"/>
        <v>0.18936471836677854</v>
      </c>
      <c r="I1274" s="303"/>
      <c r="J1274" s="302">
        <v>2.7559234601469314E-2</v>
      </c>
      <c r="K1274" s="302">
        <v>0.15420369987830629</v>
      </c>
      <c r="L1274" s="302">
        <f t="shared" si="462"/>
        <v>0.1817629344797756</v>
      </c>
      <c r="M1274" s="236"/>
      <c r="N1274" s="236"/>
    </row>
    <row r="1275" spans="1:14" x14ac:dyDescent="0.2">
      <c r="A1275" s="237" t="str">
        <f>name!E$12</f>
        <v>Elementary occupations</v>
      </c>
      <c r="B1275" s="302">
        <v>4.9448020263784372E-2</v>
      </c>
      <c r="C1275" s="302">
        <v>0.27822462562675393</v>
      </c>
      <c r="D1275" s="302">
        <f t="shared" si="460"/>
        <v>0.32767264589053829</v>
      </c>
      <c r="E1275" s="303"/>
      <c r="F1275" s="302">
        <v>7.7321210711813054E-2</v>
      </c>
      <c r="G1275" s="302">
        <v>0.34975776065315223</v>
      </c>
      <c r="H1275" s="302">
        <f t="shared" si="461"/>
        <v>0.42707897136496531</v>
      </c>
      <c r="I1275" s="303"/>
      <c r="J1275" s="302">
        <v>8.132950284833293E-2</v>
      </c>
      <c r="K1275" s="302">
        <v>0.35914705407325082</v>
      </c>
      <c r="L1275" s="302">
        <f t="shared" si="462"/>
        <v>0.44047655692158372</v>
      </c>
      <c r="M1275" s="236"/>
      <c r="N1275" s="236"/>
    </row>
    <row r="1276" spans="1:14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2">
      <c r="A1277" s="244" t="s">
        <v>32</v>
      </c>
      <c r="B1277" s="311">
        <f>SUM(B1267:B1275)</f>
        <v>1.3790000000157183</v>
      </c>
      <c r="C1277" s="311">
        <f t="shared" ref="C1277:D1277" si="463">SUM(C1267:C1275)</f>
        <v>3.3799999999866497</v>
      </c>
      <c r="D1277" s="311">
        <f t="shared" si="463"/>
        <v>4.7590000000023673</v>
      </c>
      <c r="E1277" s="311"/>
      <c r="F1277" s="311">
        <f t="shared" ref="F1277:H1277" si="464">SUM(F1267:F1275)</f>
        <v>2.3730000000018072</v>
      </c>
      <c r="G1277" s="311">
        <f t="shared" si="464"/>
        <v>5.9849999999680534</v>
      </c>
      <c r="H1277" s="311">
        <f t="shared" si="464"/>
        <v>8.3579999999698629</v>
      </c>
      <c r="I1277" s="311"/>
      <c r="J1277" s="311">
        <f t="shared" ref="J1277:L1277" si="465">SUM(J1267:J1275)</f>
        <v>2.4379999999868791</v>
      </c>
      <c r="K1277" s="311">
        <f t="shared" si="465"/>
        <v>6.8629999999828089</v>
      </c>
      <c r="L1277" s="311">
        <f t="shared" si="465"/>
        <v>9.3009999999696884</v>
      </c>
      <c r="M1277" s="236"/>
      <c r="N1277" s="236"/>
    </row>
    <row r="1278" spans="1:14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2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2">
      <c r="A1281" s="241" t="str">
        <f>name!A78</f>
        <v>Other personal service</v>
      </c>
      <c r="B1281" s="372">
        <f>B$6</f>
        <v>2015</v>
      </c>
      <c r="C1281" s="372"/>
      <c r="D1281" s="372"/>
      <c r="E1281" s="253"/>
      <c r="F1281" s="372">
        <f>F$6</f>
        <v>2020</v>
      </c>
      <c r="G1281" s="372"/>
      <c r="H1281" s="372"/>
      <c r="I1281" s="253"/>
      <c r="J1281" s="372">
        <f>J$6</f>
        <v>2035</v>
      </c>
      <c r="K1281" s="372"/>
      <c r="L1281" s="372"/>
      <c r="M1281" s="236"/>
      <c r="N1281" s="236"/>
    </row>
    <row r="1282" spans="1:14" x14ac:dyDescent="0.2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2">
      <c r="A1284" s="237" t="str">
        <f>name!E$4</f>
        <v>Managers, directors and senior officials</v>
      </c>
      <c r="B1284" s="302">
        <v>1.2462988646674</v>
      </c>
      <c r="C1284" s="302">
        <v>1.5247773395959816</v>
      </c>
      <c r="D1284" s="302">
        <f>SUM(B1284:C1284)</f>
        <v>2.7710762042633816</v>
      </c>
      <c r="E1284" s="303"/>
      <c r="F1284" s="302">
        <v>1.5042150394695517</v>
      </c>
      <c r="G1284" s="302">
        <v>1.8102453561272349</v>
      </c>
      <c r="H1284" s="302">
        <f>SUM(F1284:G1284)</f>
        <v>3.3144603955967868</v>
      </c>
      <c r="I1284" s="303"/>
      <c r="J1284" s="302">
        <v>1.8446225354665928</v>
      </c>
      <c r="K1284" s="302">
        <v>2.293845578376168</v>
      </c>
      <c r="L1284" s="302">
        <f>SUM(J1284:K1284)</f>
        <v>4.1384681138427606</v>
      </c>
      <c r="M1284" s="236"/>
      <c r="N1284" s="236"/>
    </row>
    <row r="1285" spans="1:14" x14ac:dyDescent="0.2">
      <c r="A1285" s="237" t="str">
        <f>name!E$5</f>
        <v>Professional occupations</v>
      </c>
      <c r="B1285" s="302">
        <v>1.081768646588682</v>
      </c>
      <c r="C1285" s="302">
        <v>0.92209916701453931</v>
      </c>
      <c r="D1285" s="302">
        <f t="shared" ref="D1285:D1292" si="466">SUM(B1285:C1285)</f>
        <v>2.0038678136032213</v>
      </c>
      <c r="E1285" s="303"/>
      <c r="F1285" s="302">
        <v>1.3648670629503727</v>
      </c>
      <c r="G1285" s="302">
        <v>1.4683127028065164</v>
      </c>
      <c r="H1285" s="302">
        <f t="shared" ref="H1285:H1292" si="467">SUM(F1285:G1285)</f>
        <v>2.8331797657568893</v>
      </c>
      <c r="I1285" s="303"/>
      <c r="J1285" s="302">
        <v>1.3682096647577651</v>
      </c>
      <c r="K1285" s="302">
        <v>1.8300766464813749</v>
      </c>
      <c r="L1285" s="302">
        <f t="shared" ref="L1285:L1292" si="468">SUM(J1285:K1285)</f>
        <v>3.1982863112391398</v>
      </c>
      <c r="M1285" s="236"/>
      <c r="N1285" s="236"/>
    </row>
    <row r="1286" spans="1:14" x14ac:dyDescent="0.2">
      <c r="A1286" s="237" t="str">
        <f>name!E$6</f>
        <v>Associate professional occupations</v>
      </c>
      <c r="B1286" s="302">
        <v>1.5804847928439067</v>
      </c>
      <c r="C1286" s="302">
        <v>1.0482968409895179</v>
      </c>
      <c r="D1286" s="302">
        <f t="shared" si="466"/>
        <v>2.6287816338334249</v>
      </c>
      <c r="E1286" s="303"/>
      <c r="F1286" s="302">
        <v>1.6818299679274125</v>
      </c>
      <c r="G1286" s="302">
        <v>1.4638120437590183</v>
      </c>
      <c r="H1286" s="302">
        <f t="shared" si="467"/>
        <v>3.145642011686431</v>
      </c>
      <c r="I1286" s="303"/>
      <c r="J1286" s="302">
        <v>1.6121510563027586</v>
      </c>
      <c r="K1286" s="302">
        <v>1.3661543553247186</v>
      </c>
      <c r="L1286" s="302">
        <f t="shared" si="468"/>
        <v>2.9783054116274772</v>
      </c>
      <c r="M1286" s="236"/>
      <c r="N1286" s="236"/>
    </row>
    <row r="1287" spans="1:14" x14ac:dyDescent="0.2">
      <c r="A1287" s="237" t="str">
        <f>name!E$7</f>
        <v>Administrative and secretarial occupations</v>
      </c>
      <c r="B1287" s="302">
        <v>1.1279178615354544</v>
      </c>
      <c r="C1287" s="302">
        <v>0.21968929726558695</v>
      </c>
      <c r="D1287" s="302">
        <f t="shared" si="466"/>
        <v>1.3476071588010412</v>
      </c>
      <c r="E1287" s="303"/>
      <c r="F1287" s="302">
        <v>1.0454458153035573</v>
      </c>
      <c r="G1287" s="302">
        <v>0.25028975183647412</v>
      </c>
      <c r="H1287" s="302">
        <f t="shared" si="467"/>
        <v>1.2957355671400315</v>
      </c>
      <c r="I1287" s="303"/>
      <c r="J1287" s="302">
        <v>1.1658605830615634</v>
      </c>
      <c r="K1287" s="302">
        <v>0.29131414264459793</v>
      </c>
      <c r="L1287" s="302">
        <f t="shared" si="468"/>
        <v>1.4571747257061614</v>
      </c>
      <c r="M1287" s="236"/>
      <c r="N1287" s="236"/>
    </row>
    <row r="1288" spans="1:14" x14ac:dyDescent="0.2">
      <c r="A1288" s="237" t="str">
        <f>name!E$8</f>
        <v>Skilled trades occupations</v>
      </c>
      <c r="B1288" s="302">
        <v>0.34622055635257643</v>
      </c>
      <c r="C1288" s="302">
        <v>1.2623821907275981</v>
      </c>
      <c r="D1288" s="302">
        <f t="shared" si="466"/>
        <v>1.6086027470801745</v>
      </c>
      <c r="E1288" s="303"/>
      <c r="F1288" s="302">
        <v>0.43869469194162058</v>
      </c>
      <c r="G1288" s="302">
        <v>1.27245601348585</v>
      </c>
      <c r="H1288" s="302">
        <f t="shared" si="467"/>
        <v>1.7111507054274706</v>
      </c>
      <c r="I1288" s="303"/>
      <c r="J1288" s="302">
        <v>0.86195048058109458</v>
      </c>
      <c r="K1288" s="302">
        <v>1.3609844115752032</v>
      </c>
      <c r="L1288" s="302">
        <f t="shared" si="468"/>
        <v>2.2229348921562977</v>
      </c>
      <c r="M1288" s="236"/>
      <c r="N1288" s="236"/>
    </row>
    <row r="1289" spans="1:14" x14ac:dyDescent="0.2">
      <c r="A1289" s="237" t="str">
        <f>name!E$9</f>
        <v>Caring, leisure and other service occupations</v>
      </c>
      <c r="B1289" s="302">
        <v>15.863300601789073</v>
      </c>
      <c r="C1289" s="302">
        <v>3.8703923036147088</v>
      </c>
      <c r="D1289" s="302">
        <f t="shared" si="466"/>
        <v>19.733692905403782</v>
      </c>
      <c r="E1289" s="303"/>
      <c r="F1289" s="302">
        <v>14.492570141997312</v>
      </c>
      <c r="G1289" s="302">
        <v>5.1680949784430217</v>
      </c>
      <c r="H1289" s="302">
        <f t="shared" si="467"/>
        <v>19.660665120440335</v>
      </c>
      <c r="I1289" s="303"/>
      <c r="J1289" s="302">
        <v>14.111161989835209</v>
      </c>
      <c r="K1289" s="302">
        <v>6.2507600226041014</v>
      </c>
      <c r="L1289" s="302">
        <f t="shared" si="468"/>
        <v>20.361922012439308</v>
      </c>
      <c r="M1289" s="236"/>
      <c r="N1289" s="236"/>
    </row>
    <row r="1290" spans="1:14" x14ac:dyDescent="0.2">
      <c r="A1290" s="237" t="str">
        <f>name!E$10</f>
        <v>Sales and customer service occupations</v>
      </c>
      <c r="B1290" s="302">
        <v>0.67887569906125989</v>
      </c>
      <c r="C1290" s="302">
        <v>0.49521017961881547</v>
      </c>
      <c r="D1290" s="302">
        <f t="shared" si="466"/>
        <v>1.1740858786800754</v>
      </c>
      <c r="E1290" s="303"/>
      <c r="F1290" s="302">
        <v>0.5461324900940856</v>
      </c>
      <c r="G1290" s="302">
        <v>0.6332249040414285</v>
      </c>
      <c r="H1290" s="302">
        <f t="shared" si="467"/>
        <v>1.179357394135514</v>
      </c>
      <c r="I1290" s="303"/>
      <c r="J1290" s="302">
        <v>0.49589975628433269</v>
      </c>
      <c r="K1290" s="302">
        <v>0.69139972934680216</v>
      </c>
      <c r="L1290" s="302">
        <f t="shared" si="468"/>
        <v>1.1872994856311347</v>
      </c>
      <c r="M1290" s="236"/>
      <c r="N1290" s="236"/>
    </row>
    <row r="1291" spans="1:14" x14ac:dyDescent="0.2">
      <c r="A1291" s="237" t="str">
        <f>name!E$11</f>
        <v>Process, plant and machine operatives</v>
      </c>
      <c r="B1291" s="302">
        <v>0.19164406616235946</v>
      </c>
      <c r="C1291" s="302">
        <v>0.9839879455882018</v>
      </c>
      <c r="D1291" s="302">
        <f t="shared" si="466"/>
        <v>1.1756320117505612</v>
      </c>
      <c r="E1291" s="303"/>
      <c r="F1291" s="302">
        <v>0.15998689510579067</v>
      </c>
      <c r="G1291" s="302">
        <v>1.2616011733635233</v>
      </c>
      <c r="H1291" s="302">
        <f t="shared" si="467"/>
        <v>1.4215880684693141</v>
      </c>
      <c r="I1291" s="303"/>
      <c r="J1291" s="302">
        <v>0.33245990500492606</v>
      </c>
      <c r="K1291" s="302">
        <v>1.2945848922805336</v>
      </c>
      <c r="L1291" s="302">
        <f t="shared" si="468"/>
        <v>1.6270447972854596</v>
      </c>
      <c r="M1291" s="236"/>
      <c r="N1291" s="236"/>
    </row>
    <row r="1292" spans="1:14" x14ac:dyDescent="0.2">
      <c r="A1292" s="237" t="str">
        <f>name!E$12</f>
        <v>Elementary occupations</v>
      </c>
      <c r="B1292" s="302">
        <v>0.96248891104071621</v>
      </c>
      <c r="C1292" s="302">
        <v>1.9081647356900058</v>
      </c>
      <c r="D1292" s="302">
        <f t="shared" si="466"/>
        <v>2.8706536467307222</v>
      </c>
      <c r="E1292" s="303"/>
      <c r="F1292" s="302">
        <v>0.73625789511053485</v>
      </c>
      <c r="G1292" s="302">
        <v>2.3009630763086562</v>
      </c>
      <c r="H1292" s="302">
        <f t="shared" si="467"/>
        <v>3.0372209714191909</v>
      </c>
      <c r="I1292" s="303"/>
      <c r="J1292" s="302">
        <v>0.66968402851175113</v>
      </c>
      <c r="K1292" s="302">
        <v>2.1718802216295381</v>
      </c>
      <c r="L1292" s="302">
        <f t="shared" si="468"/>
        <v>2.841564250141289</v>
      </c>
      <c r="M1292" s="236"/>
      <c r="N1292" s="236"/>
    </row>
    <row r="1293" spans="1:14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2">
      <c r="A1294" s="244" t="s">
        <v>32</v>
      </c>
      <c r="B1294" s="311">
        <f>SUM(B1284:B1292)</f>
        <v>23.079000000041425</v>
      </c>
      <c r="C1294" s="311">
        <f t="shared" ref="C1294:D1294" si="469">SUM(C1284:C1292)</f>
        <v>12.235000000104957</v>
      </c>
      <c r="D1294" s="311">
        <f t="shared" si="469"/>
        <v>35.314000000146379</v>
      </c>
      <c r="E1294" s="311"/>
      <c r="F1294" s="311">
        <f t="shared" ref="F1294:H1294" si="470">SUM(F1284:F1292)</f>
        <v>21.969999999900239</v>
      </c>
      <c r="G1294" s="311">
        <f t="shared" si="470"/>
        <v>15.629000000171725</v>
      </c>
      <c r="H1294" s="311">
        <f t="shared" si="470"/>
        <v>37.59900000007196</v>
      </c>
      <c r="I1294" s="311"/>
      <c r="J1294" s="311">
        <f t="shared" ref="J1294:L1294" si="471">SUM(J1284:J1292)</f>
        <v>22.46199999980599</v>
      </c>
      <c r="K1294" s="311">
        <f t="shared" si="471"/>
        <v>17.551000000263038</v>
      </c>
      <c r="L1294" s="311">
        <f t="shared" si="471"/>
        <v>40.013000000069027</v>
      </c>
      <c r="M1294" s="236"/>
      <c r="N1294" s="236"/>
    </row>
    <row r="1295" spans="1:14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75" x14ac:dyDescent="0.2"/>
  <cols>
    <col min="1" max="1" width="37.85546875" customWidth="1"/>
    <col min="2" max="2" width="5.7109375" bestFit="1" customWidth="1"/>
    <col min="3" max="4" width="4.140625" bestFit="1" customWidth="1"/>
    <col min="5" max="5" width="5.7109375" bestFit="1" customWidth="1"/>
    <col min="6" max="6" width="4.7109375" customWidth="1"/>
    <col min="7" max="7" width="5.7109375" bestFit="1" customWidth="1"/>
    <col min="8" max="9" width="4.140625" bestFit="1" customWidth="1"/>
    <col min="10" max="10" width="5.7109375" bestFit="1" customWidth="1"/>
    <col min="11" max="11" width="4.85546875" customWidth="1"/>
    <col min="12" max="12" width="5.7109375" bestFit="1" customWidth="1"/>
    <col min="13" max="14" width="4.140625" bestFit="1" customWidth="1"/>
    <col min="15" max="15" width="5.7109375" bestFit="1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South West</v>
      </c>
    </row>
    <row r="2" spans="1:23" x14ac:dyDescent="0.2">
      <c r="A2" s="258" t="s">
        <v>535</v>
      </c>
    </row>
    <row r="4" spans="1:23" x14ac:dyDescent="0.2">
      <c r="O4" s="251" t="s">
        <v>35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2">
        <v>2015</v>
      </c>
      <c r="C6" s="372"/>
      <c r="D6" s="372"/>
      <c r="E6" s="372"/>
      <c r="F6" s="246"/>
      <c r="G6" s="372">
        <v>2020</v>
      </c>
      <c r="H6" s="372"/>
      <c r="I6" s="372"/>
      <c r="J6" s="372"/>
      <c r="K6" s="278"/>
      <c r="L6" s="372">
        <v>2035</v>
      </c>
      <c r="M6" s="372"/>
      <c r="N6" s="372"/>
      <c r="O6" s="372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187.62981823199038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26.882596316025932</v>
      </c>
      <c r="D9" s="249">
        <f t="shared" si="0"/>
        <v>67.205545812840157</v>
      </c>
      <c r="E9" s="249">
        <f>SUM(B9:D9)</f>
        <v>281.71796036085647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216.96881042038657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41.805579349394151</v>
      </c>
      <c r="I9" s="249">
        <f t="shared" si="1"/>
        <v>77.897268303092957</v>
      </c>
      <c r="J9" s="249">
        <f>SUM(G9:I9)</f>
        <v>336.6716580728737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248.93589677303359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54.876926495916244</v>
      </c>
      <c r="N9" s="249">
        <f t="shared" si="2"/>
        <v>90.336305842974653</v>
      </c>
      <c r="O9" s="249">
        <f>SUM(L9:N9)</f>
        <v>394.14912911192448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354.93999463893209</v>
      </c>
      <c r="C10" s="249">
        <f t="shared" si="3"/>
        <v>118.19679240720615</v>
      </c>
      <c r="D10" s="249">
        <f t="shared" si="3"/>
        <v>82.6864435749916</v>
      </c>
      <c r="E10" s="249">
        <f t="shared" ref="E10:E17" si="4">SUM(B10:D10)</f>
        <v>555.82323062112982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432.11076454326957</v>
      </c>
      <c r="H10" s="249">
        <f t="shared" si="5"/>
        <v>142.92184009810171</v>
      </c>
      <c r="I10" s="249">
        <f t="shared" si="5"/>
        <v>78.231612897701126</v>
      </c>
      <c r="J10" s="249">
        <f t="shared" ref="J10:J17" si="6">SUM(G10:I10)</f>
        <v>653.26421753907243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540.03336808938388</v>
      </c>
      <c r="M10" s="249">
        <f t="shared" si="7"/>
        <v>188.72196338249353</v>
      </c>
      <c r="N10" s="249">
        <f t="shared" si="7"/>
        <v>81.580018434933933</v>
      </c>
      <c r="O10" s="249">
        <f t="shared" ref="O10:O17" si="8">SUM(L10:N10)</f>
        <v>810.3353499068113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199.1644776931515</v>
      </c>
      <c r="C11" s="249">
        <f t="shared" si="9"/>
        <v>67.746883198152062</v>
      </c>
      <c r="D11" s="249">
        <f t="shared" si="9"/>
        <v>65.289524535971125</v>
      </c>
      <c r="E11" s="249">
        <f t="shared" si="4"/>
        <v>332.20088542727467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234.17245329185408</v>
      </c>
      <c r="H11" s="249">
        <f t="shared" si="10"/>
        <v>79.607921477729505</v>
      </c>
      <c r="I11" s="249">
        <f t="shared" si="10"/>
        <v>61.968965592921535</v>
      </c>
      <c r="J11" s="249">
        <f t="shared" si="6"/>
        <v>375.74934036250511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247.44441406435732</v>
      </c>
      <c r="M11" s="249">
        <f t="shared" si="11"/>
        <v>92.438560177475452</v>
      </c>
      <c r="N11" s="249">
        <f t="shared" si="11"/>
        <v>71.726318909615188</v>
      </c>
      <c r="O11" s="249">
        <f t="shared" si="8"/>
        <v>411.60929315144796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152.58073097257673</v>
      </c>
      <c r="C12" s="249">
        <f t="shared" si="12"/>
        <v>120.20121898568169</v>
      </c>
      <c r="D12" s="249">
        <f t="shared" si="12"/>
        <v>17.446204145542861</v>
      </c>
      <c r="E12" s="249">
        <f t="shared" si="4"/>
        <v>290.22815410380133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157.50496564928946</v>
      </c>
      <c r="H12" s="249">
        <f t="shared" si="13"/>
        <v>117.17522520781074</v>
      </c>
      <c r="I12" s="249">
        <f t="shared" si="13"/>
        <v>19.66070906430398</v>
      </c>
      <c r="J12" s="249">
        <f t="shared" si="6"/>
        <v>294.34089992140423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136.60081200753692</v>
      </c>
      <c r="M12" s="249">
        <f t="shared" si="14"/>
        <v>100.98101408084983</v>
      </c>
      <c r="N12" s="249">
        <f t="shared" si="14"/>
        <v>24.048006443300331</v>
      </c>
      <c r="O12" s="249">
        <f t="shared" si="8"/>
        <v>261.6298325316871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182.36141777966867</v>
      </c>
      <c r="C13" s="249">
        <f t="shared" si="15"/>
        <v>27.8390366552538</v>
      </c>
      <c r="D13" s="249">
        <f t="shared" si="15"/>
        <v>121.74317509728081</v>
      </c>
      <c r="E13" s="249">
        <f t="shared" si="4"/>
        <v>331.94362953220332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157.04259112353725</v>
      </c>
      <c r="H13" s="249">
        <f t="shared" si="16"/>
        <v>25.78730848366849</v>
      </c>
      <c r="I13" s="249">
        <f t="shared" si="16"/>
        <v>115.18328532634916</v>
      </c>
      <c r="J13" s="249">
        <f t="shared" si="6"/>
        <v>298.0131849335549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144.43618242531144</v>
      </c>
      <c r="M13" s="249">
        <f t="shared" si="17"/>
        <v>31.368331753423195</v>
      </c>
      <c r="N13" s="249">
        <f t="shared" si="17"/>
        <v>130.68633093885228</v>
      </c>
      <c r="O13" s="249">
        <f t="shared" si="8"/>
        <v>306.4908451175869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115.57918783734554</v>
      </c>
      <c r="C14" s="249">
        <f t="shared" si="18"/>
        <v>140.42330158162414</v>
      </c>
      <c r="D14" s="249">
        <f t="shared" si="18"/>
        <v>34.068218439723793</v>
      </c>
      <c r="E14" s="249">
        <f t="shared" si="4"/>
        <v>290.07070785869348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111.03420890764203</v>
      </c>
      <c r="H14" s="249">
        <f t="shared" si="19"/>
        <v>129.50930868803781</v>
      </c>
      <c r="I14" s="249">
        <f t="shared" si="19"/>
        <v>36.541814757082761</v>
      </c>
      <c r="J14" s="249">
        <f t="shared" si="6"/>
        <v>277.08533235276258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140.26604413031484</v>
      </c>
      <c r="M14" s="249">
        <f t="shared" si="20"/>
        <v>147.83868624773521</v>
      </c>
      <c r="N14" s="249">
        <f t="shared" si="20"/>
        <v>47.962924427939669</v>
      </c>
      <c r="O14" s="249">
        <f t="shared" si="8"/>
        <v>336.06765480598972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87.941917000017369</v>
      </c>
      <c r="C15" s="249">
        <f t="shared" si="21"/>
        <v>148.82701644710255</v>
      </c>
      <c r="D15" s="249">
        <f t="shared" si="21"/>
        <v>20.071380255702387</v>
      </c>
      <c r="E15" s="249">
        <f t="shared" si="4"/>
        <v>256.8403137028223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89.191778943928966</v>
      </c>
      <c r="H15" s="249">
        <f t="shared" si="22"/>
        <v>147.60885062320713</v>
      </c>
      <c r="I15" s="249">
        <f t="shared" si="22"/>
        <v>16.628919823104695</v>
      </c>
      <c r="J15" s="249">
        <f t="shared" si="6"/>
        <v>253.42954939024079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88.49469964621764</v>
      </c>
      <c r="M15" s="249">
        <f t="shared" si="23"/>
        <v>151.47928675008276</v>
      </c>
      <c r="N15" s="249">
        <f t="shared" si="23"/>
        <v>14.473558852456708</v>
      </c>
      <c r="O15" s="249">
        <f t="shared" si="8"/>
        <v>254.44754524875711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117.41588312629071</v>
      </c>
      <c r="C16" s="249">
        <f t="shared" si="24"/>
        <v>22.624593955038161</v>
      </c>
      <c r="D16" s="249">
        <f t="shared" si="24"/>
        <v>19.459015353615627</v>
      </c>
      <c r="E16" s="249">
        <f t="shared" si="4"/>
        <v>159.4994924349445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99.627691567202845</v>
      </c>
      <c r="H16" s="249">
        <f t="shared" si="25"/>
        <v>23.653981369885372</v>
      </c>
      <c r="I16" s="249">
        <f t="shared" si="25"/>
        <v>21.454089071929104</v>
      </c>
      <c r="J16" s="249">
        <f t="shared" si="6"/>
        <v>144.73576200901732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103.42875079441497</v>
      </c>
      <c r="M16" s="249">
        <f t="shared" si="26"/>
        <v>34.80506633004557</v>
      </c>
      <c r="N16" s="249">
        <f t="shared" si="26"/>
        <v>27.271957937621849</v>
      </c>
      <c r="O16" s="249">
        <f t="shared" si="8"/>
        <v>165.50577506208236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130.95957271995252</v>
      </c>
      <c r="C17" s="249">
        <f t="shared" si="27"/>
        <v>161.98256045119425</v>
      </c>
      <c r="D17" s="249">
        <f t="shared" si="27"/>
        <v>26.585492784241396</v>
      </c>
      <c r="E17" s="249">
        <f t="shared" si="4"/>
        <v>319.5276259553882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109.40173554894797</v>
      </c>
      <c r="H17" s="249">
        <f t="shared" si="28"/>
        <v>160.02998470458144</v>
      </c>
      <c r="I17" s="249">
        <f t="shared" si="28"/>
        <v>26.865335161504845</v>
      </c>
      <c r="J17" s="249">
        <f t="shared" si="6"/>
        <v>296.29705541503427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110.77183206841126</v>
      </c>
      <c r="M17" s="249">
        <f t="shared" si="29"/>
        <v>150.04516478019886</v>
      </c>
      <c r="N17" s="249">
        <f t="shared" si="29"/>
        <v>39.040578212395815</v>
      </c>
      <c r="O17" s="249">
        <f t="shared" si="8"/>
        <v>299.85757506100595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32</v>
      </c>
      <c r="B19" s="247">
        <f>SUM(B9:B17)</f>
        <v>1528.5729999999255</v>
      </c>
      <c r="C19" s="247">
        <f t="shared" ref="C19:O19" si="30">SUM(C9:C17)</f>
        <v>834.72399999727861</v>
      </c>
      <c r="D19" s="247">
        <f t="shared" si="30"/>
        <v>454.55499999990968</v>
      </c>
      <c r="E19" s="247">
        <f t="shared" si="30"/>
        <v>2817.851999997114</v>
      </c>
      <c r="F19" s="247"/>
      <c r="G19" s="247">
        <f t="shared" si="30"/>
        <v>1607.0549999960588</v>
      </c>
      <c r="H19" s="247">
        <f t="shared" si="30"/>
        <v>868.10000000241632</v>
      </c>
      <c r="I19" s="247">
        <f t="shared" si="30"/>
        <v>454.43199999799015</v>
      </c>
      <c r="J19" s="247">
        <f t="shared" si="30"/>
        <v>2929.5869999964657</v>
      </c>
      <c r="K19" s="247"/>
      <c r="L19" s="247">
        <f t="shared" si="30"/>
        <v>1760.4119999989819</v>
      </c>
      <c r="M19" s="247">
        <f t="shared" si="30"/>
        <v>952.55499999822075</v>
      </c>
      <c r="N19" s="247">
        <f t="shared" si="30"/>
        <v>527.12600000009047</v>
      </c>
      <c r="O19" s="247">
        <f t="shared" si="30"/>
        <v>3240.0929999972923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name!A4</f>
        <v>Agriculture, etc</v>
      </c>
      <c r="B23" s="374">
        <f>$B$6</f>
        <v>2015</v>
      </c>
      <c r="C23" s="374"/>
      <c r="D23" s="374"/>
      <c r="E23" s="374"/>
      <c r="F23" s="263"/>
      <c r="G23" s="374">
        <f>$G$6</f>
        <v>2020</v>
      </c>
      <c r="H23" s="374"/>
      <c r="I23" s="374"/>
      <c r="J23" s="374"/>
      <c r="K23" s="263"/>
      <c r="L23" s="374">
        <f>$L$6</f>
        <v>2035</v>
      </c>
      <c r="M23" s="374"/>
      <c r="N23" s="374"/>
      <c r="O23" s="374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2.0026756434309601</v>
      </c>
      <c r="C26" s="302">
        <v>0.17018019219159156</v>
      </c>
      <c r="D26" s="302">
        <v>0.3652923871677326</v>
      </c>
      <c r="E26" s="302">
        <f>SUM(B26:D26)</f>
        <v>2.5381482227902845</v>
      </c>
      <c r="F26" s="303"/>
      <c r="G26" s="302">
        <v>2.0901180459129494</v>
      </c>
      <c r="H26" s="302">
        <v>1.0389151371232128</v>
      </c>
      <c r="I26" s="302">
        <v>0.55238967673265005</v>
      </c>
      <c r="J26" s="302">
        <f>SUM(G26:I26)</f>
        <v>3.6814228597688121</v>
      </c>
      <c r="K26" s="303"/>
      <c r="L26" s="302">
        <v>3.3655461826037065</v>
      </c>
      <c r="M26" s="302">
        <v>1.1773820051895805</v>
      </c>
      <c r="N26" s="302">
        <v>0.44521467503714568</v>
      </c>
      <c r="O26" s="302">
        <f>SUM(L26:N26)</f>
        <v>4.9881428628304318</v>
      </c>
    </row>
    <row r="27" spans="1:15" s="236" customFormat="1" x14ac:dyDescent="0.2">
      <c r="A27" s="237" t="str">
        <f>name!E$5</f>
        <v>Professional occupations</v>
      </c>
      <c r="B27" s="302">
        <v>1.5475932161998425</v>
      </c>
      <c r="C27" s="302">
        <v>0.12806426598380635</v>
      </c>
      <c r="D27" s="302">
        <v>0.26193197407242952</v>
      </c>
      <c r="E27" s="302">
        <f t="shared" ref="E27:E34" si="31">SUM(B27:D27)</f>
        <v>1.9375894562560783</v>
      </c>
      <c r="F27" s="303"/>
      <c r="G27" s="302">
        <v>1.9034332217094834</v>
      </c>
      <c r="H27" s="302">
        <v>1.2143238578259536</v>
      </c>
      <c r="I27" s="302">
        <v>0.48024919003937544</v>
      </c>
      <c r="J27" s="302">
        <f t="shared" ref="J27:J34" si="32">SUM(G27:I27)</f>
        <v>3.5980062695748125</v>
      </c>
      <c r="K27" s="303"/>
      <c r="L27" s="302">
        <v>2.8102432302368743</v>
      </c>
      <c r="M27" s="302">
        <v>1.6178922921781713</v>
      </c>
      <c r="N27" s="302">
        <v>0.34031586737319663</v>
      </c>
      <c r="O27" s="302">
        <f t="shared" ref="O27:O34" si="33">SUM(L27:N27)</f>
        <v>4.7684513897882423</v>
      </c>
    </row>
    <row r="28" spans="1:15" s="236" customFormat="1" x14ac:dyDescent="0.2">
      <c r="A28" s="237" t="str">
        <f>name!E$6</f>
        <v>Associate professional occupations</v>
      </c>
      <c r="B28" s="302">
        <v>0.92546063974247239</v>
      </c>
      <c r="C28" s="302">
        <v>0.11883489185570779</v>
      </c>
      <c r="D28" s="302">
        <v>0.24893475303692686</v>
      </c>
      <c r="E28" s="302">
        <f t="shared" si="31"/>
        <v>1.2932302846351069</v>
      </c>
      <c r="F28" s="303"/>
      <c r="G28" s="302">
        <v>1.0520101104794251</v>
      </c>
      <c r="H28" s="302">
        <v>0.98204229876947802</v>
      </c>
      <c r="I28" s="302">
        <v>0.51462602196562512</v>
      </c>
      <c r="J28" s="302">
        <f t="shared" si="32"/>
        <v>2.5486784312145283</v>
      </c>
      <c r="K28" s="303"/>
      <c r="L28" s="302">
        <v>1.2090161389303016</v>
      </c>
      <c r="M28" s="302">
        <v>0.9240894927977471</v>
      </c>
      <c r="N28" s="302">
        <v>0.58855776152303285</v>
      </c>
      <c r="O28" s="302">
        <f t="shared" si="33"/>
        <v>2.7216633932510814</v>
      </c>
    </row>
    <row r="29" spans="1:15" s="236" customFormat="1" x14ac:dyDescent="0.2">
      <c r="A29" s="237" t="str">
        <f>name!E$7</f>
        <v>Administrative and secretarial occupations</v>
      </c>
      <c r="B29" s="302">
        <v>0.73221338689230675</v>
      </c>
      <c r="C29" s="302">
        <v>0.38428942519485998</v>
      </c>
      <c r="D29" s="302">
        <v>0.28678748882792371</v>
      </c>
      <c r="E29" s="302">
        <f t="shared" si="31"/>
        <v>1.4032903009150903</v>
      </c>
      <c r="F29" s="303"/>
      <c r="G29" s="302">
        <v>0.72931538063635437</v>
      </c>
      <c r="H29" s="302">
        <v>1.1811629948100888</v>
      </c>
      <c r="I29" s="302">
        <v>0.58978467092984477</v>
      </c>
      <c r="J29" s="302">
        <f t="shared" si="32"/>
        <v>2.500263046376288</v>
      </c>
      <c r="K29" s="303"/>
      <c r="L29" s="302">
        <v>0.52244105271063002</v>
      </c>
      <c r="M29" s="302">
        <v>0.99596411126959683</v>
      </c>
      <c r="N29" s="302">
        <v>0.29824165503400357</v>
      </c>
      <c r="O29" s="302">
        <f t="shared" si="33"/>
        <v>1.8166468190142302</v>
      </c>
    </row>
    <row r="30" spans="1:15" s="236" customFormat="1" x14ac:dyDescent="0.2">
      <c r="A30" s="237" t="str">
        <f>name!E$8</f>
        <v>Skilled trades occupations</v>
      </c>
      <c r="B30" s="302">
        <v>9.5970524671378197</v>
      </c>
      <c r="C30" s="302">
        <v>1.023927634238772</v>
      </c>
      <c r="D30" s="302">
        <v>13.810859714333571</v>
      </c>
      <c r="E30" s="302">
        <f t="shared" si="31"/>
        <v>24.431839815710163</v>
      </c>
      <c r="F30" s="303"/>
      <c r="G30" s="302">
        <v>8.050702514352345</v>
      </c>
      <c r="H30" s="302">
        <v>1.199533111687642</v>
      </c>
      <c r="I30" s="302">
        <v>18.043174049683962</v>
      </c>
      <c r="J30" s="302">
        <f>SUM(G30:I30)</f>
        <v>27.29340967572395</v>
      </c>
      <c r="K30" s="303"/>
      <c r="L30" s="302">
        <v>9.8647869472477794</v>
      </c>
      <c r="M30" s="302">
        <v>1.9335937743520715</v>
      </c>
      <c r="N30" s="302">
        <v>14.119935070505704</v>
      </c>
      <c r="O30" s="302">
        <f t="shared" si="33"/>
        <v>25.918315792105556</v>
      </c>
    </row>
    <row r="31" spans="1:15" s="236" customFormat="1" x14ac:dyDescent="0.2">
      <c r="A31" s="237" t="str">
        <f>name!E$9</f>
        <v>Caring, leisure and other service occupations</v>
      </c>
      <c r="B31" s="302">
        <v>1.2981142176857656</v>
      </c>
      <c r="C31" s="302">
        <v>0.39671583449219777</v>
      </c>
      <c r="D31" s="302">
        <v>0.90815517059589379</v>
      </c>
      <c r="E31" s="302">
        <f t="shared" si="31"/>
        <v>2.602985222773857</v>
      </c>
      <c r="F31" s="303"/>
      <c r="G31" s="302">
        <v>1.1780303764268052</v>
      </c>
      <c r="H31" s="302">
        <v>0.54323705340759409</v>
      </c>
      <c r="I31" s="302">
        <v>2.2660164335674922</v>
      </c>
      <c r="J31" s="302">
        <f t="shared" si="32"/>
        <v>3.9872838634018914</v>
      </c>
      <c r="K31" s="303"/>
      <c r="L31" s="302">
        <v>1.3613846996528494</v>
      </c>
      <c r="M31" s="302">
        <v>0.30698455494977139</v>
      </c>
      <c r="N31" s="302">
        <v>2.3732006453369356</v>
      </c>
      <c r="O31" s="302">
        <f t="shared" si="33"/>
        <v>4.0415698999395566</v>
      </c>
    </row>
    <row r="32" spans="1:15" s="236" customFormat="1" x14ac:dyDescent="0.2">
      <c r="A32" s="237" t="str">
        <f>name!E$10</f>
        <v>Sales and customer service occupations</v>
      </c>
      <c r="B32" s="302">
        <v>0.41102783408812565</v>
      </c>
      <c r="C32" s="302">
        <v>0.12035801545236763</v>
      </c>
      <c r="D32" s="302">
        <v>0.16459731572995387</v>
      </c>
      <c r="E32" s="302">
        <f t="shared" si="31"/>
        <v>0.69598316527044712</v>
      </c>
      <c r="F32" s="303"/>
      <c r="G32" s="302">
        <v>0.37255871997095519</v>
      </c>
      <c r="H32" s="302">
        <v>0.49050445115619584</v>
      </c>
      <c r="I32" s="302">
        <v>0.2171993870843601</v>
      </c>
      <c r="J32" s="302">
        <f t="shared" si="32"/>
        <v>1.0802625582115111</v>
      </c>
      <c r="K32" s="303"/>
      <c r="L32" s="302">
        <v>0.44115762708854328</v>
      </c>
      <c r="M32" s="302">
        <v>0.59267278922092237</v>
      </c>
      <c r="N32" s="302">
        <v>0.17704627027898417</v>
      </c>
      <c r="O32" s="302">
        <f t="shared" si="33"/>
        <v>1.2108766865884497</v>
      </c>
    </row>
    <row r="33" spans="1:15" s="236" customFormat="1" x14ac:dyDescent="0.2">
      <c r="A33" s="237" t="str">
        <f>name!E$11</f>
        <v>Process, plant and machine operatives</v>
      </c>
      <c r="B33" s="302">
        <v>1.9170968116839904</v>
      </c>
      <c r="C33" s="302">
        <v>6.2485072160836763E-2</v>
      </c>
      <c r="D33" s="302">
        <v>0.44077070711241323</v>
      </c>
      <c r="E33" s="302">
        <f t="shared" si="31"/>
        <v>2.4203525909572403</v>
      </c>
      <c r="F33" s="303"/>
      <c r="G33" s="302">
        <v>1.3883635013651328</v>
      </c>
      <c r="H33" s="302">
        <v>0.30657007899926531</v>
      </c>
      <c r="I33" s="302">
        <v>0.93664808251459075</v>
      </c>
      <c r="J33" s="302">
        <f t="shared" si="32"/>
        <v>2.6315816628789888</v>
      </c>
      <c r="K33" s="303"/>
      <c r="L33" s="302">
        <v>1.4492359396120955</v>
      </c>
      <c r="M33" s="302">
        <v>0.30528399115555194</v>
      </c>
      <c r="N33" s="302">
        <v>2.1625353426435336</v>
      </c>
      <c r="O33" s="302">
        <f t="shared" si="33"/>
        <v>3.9170552734111812</v>
      </c>
    </row>
    <row r="34" spans="1:15" s="236" customFormat="1" x14ac:dyDescent="0.2">
      <c r="A34" s="237" t="str">
        <f>name!E$12</f>
        <v>Elementary occupations</v>
      </c>
      <c r="B34" s="302">
        <v>4.4687657831144429</v>
      </c>
      <c r="C34" s="302">
        <v>0.78914466842517206</v>
      </c>
      <c r="D34" s="302">
        <v>5.1546704890938377</v>
      </c>
      <c r="E34" s="302">
        <f t="shared" si="31"/>
        <v>10.412580940633454</v>
      </c>
      <c r="F34" s="303"/>
      <c r="G34" s="302">
        <v>3.1004681292724809</v>
      </c>
      <c r="H34" s="302">
        <v>1.2397110162864251</v>
      </c>
      <c r="I34" s="302">
        <v>6.6529124872910677</v>
      </c>
      <c r="J34" s="302">
        <f t="shared" si="32"/>
        <v>10.993091632849975</v>
      </c>
      <c r="K34" s="303"/>
      <c r="L34" s="302">
        <v>2.2431881820677555</v>
      </c>
      <c r="M34" s="302">
        <v>0.55413698885412865</v>
      </c>
      <c r="N34" s="302">
        <v>9.8599527113772076</v>
      </c>
      <c r="O34" s="302">
        <f t="shared" si="33"/>
        <v>12.657277882299091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32</v>
      </c>
      <c r="B36" s="311">
        <f>SUM(B26:B34)</f>
        <v>22.899999999975726</v>
      </c>
      <c r="C36" s="311">
        <f t="shared" ref="C36:O36" si="34">SUM(C26:C34)</f>
        <v>3.1939999999953117</v>
      </c>
      <c r="D36" s="311">
        <f t="shared" si="34"/>
        <v>21.641999999970682</v>
      </c>
      <c r="E36" s="311">
        <f t="shared" si="34"/>
        <v>47.735999999941725</v>
      </c>
      <c r="F36" s="311"/>
      <c r="G36" s="311">
        <f t="shared" si="34"/>
        <v>19.865000000125935</v>
      </c>
      <c r="H36" s="311">
        <f t="shared" si="34"/>
        <v>8.1960000000658546</v>
      </c>
      <c r="I36" s="311">
        <f t="shared" si="34"/>
        <v>30.252999999808971</v>
      </c>
      <c r="J36" s="311">
        <f t="shared" si="34"/>
        <v>58.314000000000753</v>
      </c>
      <c r="K36" s="311"/>
      <c r="L36" s="311">
        <f t="shared" si="34"/>
        <v>23.267000000150535</v>
      </c>
      <c r="M36" s="311">
        <f t="shared" si="34"/>
        <v>8.4079999999675419</v>
      </c>
      <c r="N36" s="311">
        <f t="shared" si="34"/>
        <v>30.364999999109745</v>
      </c>
      <c r="O36" s="311">
        <f t="shared" si="34"/>
        <v>62.039999999227824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name!A5</f>
        <v>Coal, oil &amp; gas; Mining &amp; related</v>
      </c>
      <c r="B40" s="374">
        <f>$B$6</f>
        <v>2015</v>
      </c>
      <c r="C40" s="374"/>
      <c r="D40" s="374"/>
      <c r="E40" s="374"/>
      <c r="F40" s="263"/>
      <c r="G40" s="374">
        <f>$G$6</f>
        <v>2020</v>
      </c>
      <c r="H40" s="374"/>
      <c r="I40" s="374"/>
      <c r="J40" s="374"/>
      <c r="K40" s="263"/>
      <c r="L40" s="374">
        <f>$L$6</f>
        <v>2035</v>
      </c>
      <c r="M40" s="374"/>
      <c r="N40" s="374"/>
      <c r="O40" s="374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0.35096117549300576</v>
      </c>
      <c r="C43" s="302">
        <v>4.0662743566485899E-3</v>
      </c>
      <c r="D43" s="302">
        <v>0.16875666221543509</v>
      </c>
      <c r="E43" s="302">
        <f>SUM(B43:D43)</f>
        <v>0.52378411206508946</v>
      </c>
      <c r="F43" s="303"/>
      <c r="G43" s="302">
        <v>0.44872996955651367</v>
      </c>
      <c r="H43" s="302">
        <v>3.7096614942207832E-3</v>
      </c>
      <c r="I43" s="302">
        <v>0</v>
      </c>
      <c r="J43" s="302">
        <f>SUM(G43:I43)</f>
        <v>0.45243963105073448</v>
      </c>
      <c r="K43" s="303"/>
      <c r="L43" s="302">
        <v>0.26367440918861179</v>
      </c>
      <c r="M43" s="302">
        <v>2.9485032723145688E-3</v>
      </c>
      <c r="N43" s="302">
        <v>0</v>
      </c>
      <c r="O43" s="302">
        <f>SUM(L43:N43)</f>
        <v>0.26662291246092634</v>
      </c>
    </row>
    <row r="44" spans="1:15" s="236" customFormat="1" x14ac:dyDescent="0.2">
      <c r="A44" s="237" t="str">
        <f>name!E$5</f>
        <v>Professional occupations</v>
      </c>
      <c r="B44" s="302">
        <v>0.42570247069692368</v>
      </c>
      <c r="C44" s="302">
        <v>1.051103004260958E-2</v>
      </c>
      <c r="D44" s="302">
        <v>0.12959228468074677</v>
      </c>
      <c r="E44" s="302">
        <f t="shared" ref="E44:E51" si="35">SUM(B44:D44)</f>
        <v>0.56580578542028004</v>
      </c>
      <c r="F44" s="303"/>
      <c r="G44" s="302">
        <v>0.57006450712828682</v>
      </c>
      <c r="H44" s="302">
        <v>1.4288907451864888E-2</v>
      </c>
      <c r="I44" s="302">
        <v>0</v>
      </c>
      <c r="J44" s="302">
        <f t="shared" ref="J44:J46" si="36">SUM(G44:I44)</f>
        <v>0.58435341458015166</v>
      </c>
      <c r="K44" s="303"/>
      <c r="L44" s="302">
        <v>0.37001371554612628</v>
      </c>
      <c r="M44" s="302">
        <v>9.8279842339427902E-3</v>
      </c>
      <c r="N44" s="302">
        <v>0</v>
      </c>
      <c r="O44" s="302">
        <f t="shared" ref="O44:O51" si="37">SUM(L44:N44)</f>
        <v>0.37984169978006904</v>
      </c>
    </row>
    <row r="45" spans="1:15" s="236" customFormat="1" x14ac:dyDescent="0.2">
      <c r="A45" s="237" t="str">
        <f>name!E$6</f>
        <v>Associate professional occupations</v>
      </c>
      <c r="B45" s="302">
        <v>0.3246719480866283</v>
      </c>
      <c r="C45" s="302">
        <v>9.2416363475619403E-3</v>
      </c>
      <c r="D45" s="302">
        <v>7.3471196949570841E-2</v>
      </c>
      <c r="E45" s="302">
        <f t="shared" si="35"/>
        <v>0.40738478138376105</v>
      </c>
      <c r="F45" s="303"/>
      <c r="G45" s="302">
        <v>0.41567279046810202</v>
      </c>
      <c r="H45" s="302">
        <v>1.1962485743667709E-2</v>
      </c>
      <c r="I45" s="302">
        <v>0</v>
      </c>
      <c r="J45" s="302">
        <f t="shared" si="36"/>
        <v>0.42763527621176972</v>
      </c>
      <c r="K45" s="303"/>
      <c r="L45" s="302">
        <v>0.21019001980391575</v>
      </c>
      <c r="M45" s="302">
        <v>7.3405734743343031E-3</v>
      </c>
      <c r="N45" s="302">
        <v>0</v>
      </c>
      <c r="O45" s="302">
        <f t="shared" si="37"/>
        <v>0.21753059327825006</v>
      </c>
    </row>
    <row r="46" spans="1:15" s="236" customFormat="1" x14ac:dyDescent="0.2">
      <c r="A46" s="237" t="str">
        <f>name!E$7</f>
        <v>Administrative and secretarial occupations</v>
      </c>
      <c r="B46" s="302">
        <v>0.14405098497270002</v>
      </c>
      <c r="C46" s="302">
        <v>1.2548082875573966E-2</v>
      </c>
      <c r="D46" s="302">
        <v>3.3812534043827891E-2</v>
      </c>
      <c r="E46" s="302">
        <f t="shared" si="35"/>
        <v>0.19041160189210188</v>
      </c>
      <c r="F46" s="303"/>
      <c r="G46" s="302">
        <v>0.15332087309023562</v>
      </c>
      <c r="H46" s="302">
        <v>1.5672450555400941E-2</v>
      </c>
      <c r="I46" s="302">
        <v>0</v>
      </c>
      <c r="J46" s="302">
        <f t="shared" si="36"/>
        <v>0.16899332364563657</v>
      </c>
      <c r="K46" s="303"/>
      <c r="L46" s="302">
        <v>6.8910428115368988E-2</v>
      </c>
      <c r="M46" s="302">
        <v>5.6191961155584646E-3</v>
      </c>
      <c r="N46" s="302">
        <v>0</v>
      </c>
      <c r="O46" s="302">
        <f t="shared" si="37"/>
        <v>7.4529624230927446E-2</v>
      </c>
    </row>
    <row r="47" spans="1:15" s="236" customFormat="1" x14ac:dyDescent="0.2">
      <c r="A47" s="237" t="str">
        <f>name!E$8</f>
        <v>Skilled trades occupations</v>
      </c>
      <c r="B47" s="302">
        <v>0.55167851743225482</v>
      </c>
      <c r="C47" s="302">
        <v>1.0735623080826024E-2</v>
      </c>
      <c r="D47" s="302">
        <v>0.31996853254377555</v>
      </c>
      <c r="E47" s="302">
        <f t="shared" si="35"/>
        <v>0.88238267305685636</v>
      </c>
      <c r="F47" s="303"/>
      <c r="G47" s="302">
        <v>0.52265705569383947</v>
      </c>
      <c r="H47" s="302">
        <v>8.6700868949187455E-3</v>
      </c>
      <c r="I47" s="302">
        <v>0</v>
      </c>
      <c r="J47" s="302">
        <f>SUM(G47:I47)</f>
        <v>0.53132714258875824</v>
      </c>
      <c r="K47" s="303"/>
      <c r="L47" s="302">
        <v>0.21844696795097721</v>
      </c>
      <c r="M47" s="302">
        <v>2.1632840680645402E-3</v>
      </c>
      <c r="N47" s="302">
        <v>0</v>
      </c>
      <c r="O47" s="302">
        <f t="shared" si="37"/>
        <v>0.22061025201904175</v>
      </c>
    </row>
    <row r="48" spans="1:15" s="236" customFormat="1" x14ac:dyDescent="0.2">
      <c r="A48" s="237" t="str">
        <f>name!E$9</f>
        <v>Caring, leisure and other service occupations</v>
      </c>
      <c r="B48" s="302">
        <v>7.2483729380615772E-2</v>
      </c>
      <c r="C48" s="302">
        <v>3.4816927793817669E-2</v>
      </c>
      <c r="D48" s="302">
        <v>1.0135328750085304E-2</v>
      </c>
      <c r="E48" s="302">
        <f t="shared" si="35"/>
        <v>0.11743598592451873</v>
      </c>
      <c r="F48" s="303"/>
      <c r="G48" s="302">
        <v>7.3749441941998201E-2</v>
      </c>
      <c r="H48" s="302">
        <v>6.1449120408710901E-2</v>
      </c>
      <c r="I48" s="302">
        <v>0</v>
      </c>
      <c r="J48" s="302">
        <f t="shared" ref="J48:J51" si="38">SUM(G48:I48)</f>
        <v>0.1351985623507091</v>
      </c>
      <c r="K48" s="303"/>
      <c r="L48" s="302">
        <v>4.0134838463763138E-2</v>
      </c>
      <c r="M48" s="302">
        <v>4.3120518619508892E-2</v>
      </c>
      <c r="N48" s="302">
        <v>0</v>
      </c>
      <c r="O48" s="302">
        <f t="shared" si="37"/>
        <v>8.325535708327203E-2</v>
      </c>
    </row>
    <row r="49" spans="1:15" s="236" customFormat="1" x14ac:dyDescent="0.2">
      <c r="A49" s="237" t="str">
        <f>name!E$10</f>
        <v>Sales and customer service occupations</v>
      </c>
      <c r="B49" s="302">
        <v>5.3223903977128749E-2</v>
      </c>
      <c r="C49" s="302">
        <v>2.1087793983504025E-2</v>
      </c>
      <c r="D49" s="302">
        <v>2.4223343633390116E-2</v>
      </c>
      <c r="E49" s="302">
        <f t="shared" si="35"/>
        <v>9.853504159402289E-2</v>
      </c>
      <c r="F49" s="303"/>
      <c r="G49" s="302">
        <v>5.5754068104054033E-2</v>
      </c>
      <c r="H49" s="302">
        <v>1.4030445475905325E-2</v>
      </c>
      <c r="I49" s="302">
        <v>0</v>
      </c>
      <c r="J49" s="302">
        <f t="shared" si="38"/>
        <v>6.9784513579959351E-2</v>
      </c>
      <c r="K49" s="303"/>
      <c r="L49" s="302">
        <v>3.2275954860407262E-2</v>
      </c>
      <c r="M49" s="302">
        <v>6.9328089997138858E-3</v>
      </c>
      <c r="N49" s="302">
        <v>0</v>
      </c>
      <c r="O49" s="302">
        <f t="shared" si="37"/>
        <v>3.9208763860121149E-2</v>
      </c>
    </row>
    <row r="50" spans="1:15" s="236" customFormat="1" x14ac:dyDescent="0.2">
      <c r="A50" s="237" t="str">
        <f>name!E$11</f>
        <v>Process, plant and machine operatives</v>
      </c>
      <c r="B50" s="302">
        <v>1.1217306548498231</v>
      </c>
      <c r="C50" s="302">
        <v>6.3783069892436595E-3</v>
      </c>
      <c r="D50" s="302">
        <v>0.19848241021829705</v>
      </c>
      <c r="E50" s="302">
        <f t="shared" si="35"/>
        <v>1.3265913720573637</v>
      </c>
      <c r="F50" s="303"/>
      <c r="G50" s="302">
        <v>1.0870018191279942</v>
      </c>
      <c r="H50" s="302">
        <v>2.7595745602749713E-3</v>
      </c>
      <c r="I50" s="302">
        <v>0</v>
      </c>
      <c r="J50" s="302">
        <f t="shared" si="38"/>
        <v>1.0897613936882691</v>
      </c>
      <c r="K50" s="303"/>
      <c r="L50" s="302">
        <v>0.59072141024039049</v>
      </c>
      <c r="M50" s="302">
        <v>1.66010516964778E-3</v>
      </c>
      <c r="N50" s="302">
        <v>0</v>
      </c>
      <c r="O50" s="302">
        <f t="shared" si="37"/>
        <v>0.59238151541003825</v>
      </c>
    </row>
    <row r="51" spans="1:15" s="236" customFormat="1" x14ac:dyDescent="0.2">
      <c r="A51" s="237" t="str">
        <f>name!E$12</f>
        <v>Elementary occupations</v>
      </c>
      <c r="B51" s="302">
        <v>5.5496615110679097E-2</v>
      </c>
      <c r="C51" s="302">
        <v>2.9614324529836433E-2</v>
      </c>
      <c r="D51" s="302">
        <v>0.48355770695158395</v>
      </c>
      <c r="E51" s="302">
        <f t="shared" si="35"/>
        <v>0.56866864659209948</v>
      </c>
      <c r="F51" s="303"/>
      <c r="G51" s="302">
        <v>4.6049474899192235E-2</v>
      </c>
      <c r="H51" s="302">
        <v>1.6457267414650256E-2</v>
      </c>
      <c r="I51" s="302">
        <v>0</v>
      </c>
      <c r="J51" s="302">
        <f t="shared" si="38"/>
        <v>6.2506742313842484E-2</v>
      </c>
      <c r="K51" s="303"/>
      <c r="L51" s="302">
        <v>1.4632255848238723E-2</v>
      </c>
      <c r="M51" s="302">
        <v>6.3870260464066395E-3</v>
      </c>
      <c r="N51" s="302">
        <v>0</v>
      </c>
      <c r="O51" s="302">
        <f t="shared" si="37"/>
        <v>2.1019281894645362E-2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32</v>
      </c>
      <c r="B53" s="311">
        <f>SUM(B43:B51)</f>
        <v>3.0999999999997594</v>
      </c>
      <c r="C53" s="311">
        <f t="shared" ref="C53:E53" si="39">SUM(C43:C51)</f>
        <v>0.13899999999962187</v>
      </c>
      <c r="D53" s="311">
        <f t="shared" si="39"/>
        <v>1.4419999999867126</v>
      </c>
      <c r="E53" s="311">
        <f t="shared" si="39"/>
        <v>4.6809999999860938</v>
      </c>
      <c r="F53" s="311"/>
      <c r="G53" s="311">
        <f t="shared" ref="G53:J53" si="40">SUM(G43:G51)</f>
        <v>3.3730000000102169</v>
      </c>
      <c r="H53" s="311">
        <f t="shared" si="40"/>
        <v>0.14899999999961452</v>
      </c>
      <c r="I53" s="311">
        <f t="shared" si="40"/>
        <v>0</v>
      </c>
      <c r="J53" s="311">
        <f t="shared" si="40"/>
        <v>3.5220000000098306</v>
      </c>
      <c r="K53" s="311"/>
      <c r="L53" s="311">
        <f t="shared" ref="L53:O53" si="41">SUM(L43:L51)</f>
        <v>1.8090000000177997</v>
      </c>
      <c r="M53" s="311">
        <f t="shared" si="41"/>
        <v>8.5999999999491844E-2</v>
      </c>
      <c r="N53" s="311">
        <f t="shared" si="41"/>
        <v>0</v>
      </c>
      <c r="O53" s="311">
        <f t="shared" si="41"/>
        <v>1.8950000000172913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name!A6</f>
        <v>Food products</v>
      </c>
      <c r="B57" s="374">
        <f>$B$6</f>
        <v>2015</v>
      </c>
      <c r="C57" s="374"/>
      <c r="D57" s="374"/>
      <c r="E57" s="374"/>
      <c r="F57" s="263"/>
      <c r="G57" s="374">
        <f>$G$6</f>
        <v>2020</v>
      </c>
      <c r="H57" s="374"/>
      <c r="I57" s="374"/>
      <c r="J57" s="374"/>
      <c r="K57" s="263"/>
      <c r="L57" s="374">
        <f>$L$6</f>
        <v>2035</v>
      </c>
      <c r="M57" s="374"/>
      <c r="N57" s="374"/>
      <c r="O57" s="374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1.763780262873524</v>
      </c>
      <c r="C60" s="302">
        <v>0.23608938919236303</v>
      </c>
      <c r="D60" s="302">
        <v>0.4046972041796284</v>
      </c>
      <c r="E60" s="302">
        <f>SUM(B60:D60)</f>
        <v>2.4045668562455154</v>
      </c>
      <c r="F60" s="303"/>
      <c r="G60" s="302">
        <v>2.1434465488549619</v>
      </c>
      <c r="H60" s="302">
        <v>0.29982501948486423</v>
      </c>
      <c r="I60" s="302">
        <v>0.45826259891087229</v>
      </c>
      <c r="J60" s="302">
        <f>SUM(G60:I60)</f>
        <v>2.9015341672506985</v>
      </c>
      <c r="K60" s="303"/>
      <c r="L60" s="302">
        <v>1.7087524313955753</v>
      </c>
      <c r="M60" s="302">
        <v>0.27126375640322681</v>
      </c>
      <c r="N60" s="302">
        <v>0.42893131527783079</v>
      </c>
      <c r="O60" s="302">
        <f>SUM(L60:N60)</f>
        <v>2.4089475030766327</v>
      </c>
    </row>
    <row r="61" spans="1:15" s="236" customFormat="1" x14ac:dyDescent="0.2">
      <c r="A61" s="237" t="str">
        <f>name!E$5</f>
        <v>Professional occupations</v>
      </c>
      <c r="B61" s="302">
        <v>1.5059209267407292</v>
      </c>
      <c r="C61" s="302">
        <v>9.9069616281779987E-2</v>
      </c>
      <c r="D61" s="302">
        <v>0.11398361189688155</v>
      </c>
      <c r="E61" s="302">
        <f t="shared" ref="E61:E68" si="42">SUM(B61:D61)</f>
        <v>1.7189741549193907</v>
      </c>
      <c r="F61" s="303"/>
      <c r="G61" s="302">
        <v>2.0775911345615463</v>
      </c>
      <c r="H61" s="302">
        <v>0.11886131606934613</v>
      </c>
      <c r="I61" s="302">
        <v>0.22258709138250843</v>
      </c>
      <c r="J61" s="302">
        <f t="shared" ref="J61:J63" si="43">SUM(G61:I61)</f>
        <v>2.419039542013401</v>
      </c>
      <c r="K61" s="303"/>
      <c r="L61" s="302">
        <v>2.0847591409238602</v>
      </c>
      <c r="M61" s="302">
        <v>9.3807098187189047E-2</v>
      </c>
      <c r="N61" s="302">
        <v>0.1320924013784591</v>
      </c>
      <c r="O61" s="302">
        <f t="shared" ref="O61:O68" si="44">SUM(L61:N61)</f>
        <v>2.3106586404895082</v>
      </c>
    </row>
    <row r="62" spans="1:15" s="236" customFormat="1" x14ac:dyDescent="0.2">
      <c r="A62" s="237" t="str">
        <f>name!E$6</f>
        <v>Associate professional occupations</v>
      </c>
      <c r="B62" s="302">
        <v>2.1775914275656758</v>
      </c>
      <c r="C62" s="302">
        <v>0.22401092983908422</v>
      </c>
      <c r="D62" s="302">
        <v>8.8356649336126927E-2</v>
      </c>
      <c r="E62" s="302">
        <f t="shared" si="42"/>
        <v>2.4899590067408868</v>
      </c>
      <c r="F62" s="303"/>
      <c r="G62" s="302">
        <v>2.7296394420088324</v>
      </c>
      <c r="H62" s="302">
        <v>0.21402634278336</v>
      </c>
      <c r="I62" s="302">
        <v>0.12210278850663762</v>
      </c>
      <c r="J62" s="302">
        <f t="shared" si="43"/>
        <v>3.06576857329883</v>
      </c>
      <c r="K62" s="303"/>
      <c r="L62" s="302">
        <v>2.1274908604094489</v>
      </c>
      <c r="M62" s="302">
        <v>0.12326635975094151</v>
      </c>
      <c r="N62" s="302">
        <v>6.8061790417221824E-2</v>
      </c>
      <c r="O62" s="302">
        <f t="shared" si="44"/>
        <v>2.3188190105776121</v>
      </c>
    </row>
    <row r="63" spans="1:15" s="236" customFormat="1" x14ac:dyDescent="0.2">
      <c r="A63" s="237" t="str">
        <f>name!E$7</f>
        <v>Administrative and secretarial occupations</v>
      </c>
      <c r="B63" s="302">
        <v>1.6854574305092658</v>
      </c>
      <c r="C63" s="302">
        <v>0.66507421550848778</v>
      </c>
      <c r="D63" s="302">
        <v>4.8986573881356785E-2</v>
      </c>
      <c r="E63" s="302">
        <f t="shared" si="42"/>
        <v>2.3995182198991105</v>
      </c>
      <c r="F63" s="303"/>
      <c r="G63" s="302">
        <v>1.8871079586042576</v>
      </c>
      <c r="H63" s="302">
        <v>0.51788057697212575</v>
      </c>
      <c r="I63" s="302">
        <v>0.12868929283362951</v>
      </c>
      <c r="J63" s="302">
        <f t="shared" si="43"/>
        <v>2.533677828410013</v>
      </c>
      <c r="K63" s="303"/>
      <c r="L63" s="302">
        <v>1.3470421041913465</v>
      </c>
      <c r="M63" s="302">
        <v>0.34909930666356065</v>
      </c>
      <c r="N63" s="302">
        <v>6.4316807014519667E-2</v>
      </c>
      <c r="O63" s="302">
        <f t="shared" si="44"/>
        <v>1.7604582178694268</v>
      </c>
    </row>
    <row r="64" spans="1:15" s="236" customFormat="1" x14ac:dyDescent="0.2">
      <c r="A64" s="237" t="str">
        <f>name!E$8</f>
        <v>Skilled trades occupations</v>
      </c>
      <c r="B64" s="302">
        <v>3.1902579609116759</v>
      </c>
      <c r="C64" s="302">
        <v>0.19330623552018306</v>
      </c>
      <c r="D64" s="302">
        <v>0.69359968682412176</v>
      </c>
      <c r="E64" s="302">
        <f t="shared" si="42"/>
        <v>4.0771638832559809</v>
      </c>
      <c r="F64" s="303"/>
      <c r="G64" s="302">
        <v>2.6315517876752241</v>
      </c>
      <c r="H64" s="302">
        <v>0.11596520364931578</v>
      </c>
      <c r="I64" s="302">
        <v>1.1682459880958849</v>
      </c>
      <c r="J64" s="302">
        <f>SUM(G64:I64)</f>
        <v>3.9157629794204247</v>
      </c>
      <c r="K64" s="303"/>
      <c r="L64" s="302">
        <v>1.8187533293683829</v>
      </c>
      <c r="M64" s="302">
        <v>6.869989894809686E-2</v>
      </c>
      <c r="N64" s="302">
        <v>0.81273984411577771</v>
      </c>
      <c r="O64" s="302">
        <f t="shared" si="44"/>
        <v>2.7001930724322576</v>
      </c>
    </row>
    <row r="65" spans="1:15" s="236" customFormat="1" x14ac:dyDescent="0.2">
      <c r="A65" s="237" t="str">
        <f>name!E$9</f>
        <v>Caring, leisure and other service occupations</v>
      </c>
      <c r="B65" s="302">
        <v>0.15301744749794355</v>
      </c>
      <c r="C65" s="302">
        <v>3.6555836649497096E-2</v>
      </c>
      <c r="D65" s="302">
        <v>1.8591419105620986E-2</v>
      </c>
      <c r="E65" s="302">
        <f t="shared" si="42"/>
        <v>0.20816470325306163</v>
      </c>
      <c r="F65" s="303"/>
      <c r="G65" s="302">
        <v>0.17010999557978473</v>
      </c>
      <c r="H65" s="302">
        <v>2.7424516405402461E-2</v>
      </c>
      <c r="I65" s="302">
        <v>7.6935616576067956E-2</v>
      </c>
      <c r="J65" s="302">
        <f t="shared" ref="J65:J68" si="45">SUM(G65:I65)</f>
        <v>0.27447012856125519</v>
      </c>
      <c r="K65" s="303"/>
      <c r="L65" s="302">
        <v>0.12866937103022449</v>
      </c>
      <c r="M65" s="302">
        <v>1.7657768888160508E-2</v>
      </c>
      <c r="N65" s="302">
        <v>8.1802231769794634E-2</v>
      </c>
      <c r="O65" s="302">
        <f t="shared" si="44"/>
        <v>0.22812937168817965</v>
      </c>
    </row>
    <row r="66" spans="1:15" s="236" customFormat="1" x14ac:dyDescent="0.2">
      <c r="A66" s="237" t="str">
        <f>name!E$10</f>
        <v>Sales and customer service occupations</v>
      </c>
      <c r="B66" s="302">
        <v>1.4914567050438465</v>
      </c>
      <c r="C66" s="302">
        <v>1.0379427282860807</v>
      </c>
      <c r="D66" s="302">
        <v>9.8147488860209908E-2</v>
      </c>
      <c r="E66" s="302">
        <f t="shared" si="42"/>
        <v>2.6275469221901373</v>
      </c>
      <c r="F66" s="303"/>
      <c r="G66" s="302">
        <v>1.5073065664805907</v>
      </c>
      <c r="H66" s="302">
        <v>0.79104340527593608</v>
      </c>
      <c r="I66" s="302">
        <v>0.11119161044189582</v>
      </c>
      <c r="J66" s="302">
        <f t="shared" si="45"/>
        <v>2.4095415821984227</v>
      </c>
      <c r="K66" s="303"/>
      <c r="L66" s="302">
        <v>1.225380301301384</v>
      </c>
      <c r="M66" s="302">
        <v>0.60769563729044507</v>
      </c>
      <c r="N66" s="302">
        <v>8.461152218797971E-2</v>
      </c>
      <c r="O66" s="302">
        <f t="shared" si="44"/>
        <v>1.9176874607798089</v>
      </c>
    </row>
    <row r="67" spans="1:15" s="236" customFormat="1" x14ac:dyDescent="0.2">
      <c r="A67" s="237" t="str">
        <f>name!E$11</f>
        <v>Process, plant and machine operatives</v>
      </c>
      <c r="B67" s="302">
        <v>9.2750954903322107</v>
      </c>
      <c r="C67" s="302">
        <v>0.70844699493875996</v>
      </c>
      <c r="D67" s="302">
        <v>0.16950442796926982</v>
      </c>
      <c r="E67" s="302">
        <f t="shared" si="42"/>
        <v>10.153046913240241</v>
      </c>
      <c r="F67" s="303"/>
      <c r="G67" s="302">
        <v>7.6418917577044887</v>
      </c>
      <c r="H67" s="302">
        <v>0.53363681928577733</v>
      </c>
      <c r="I67" s="302">
        <v>0.38007455032514703</v>
      </c>
      <c r="J67" s="302">
        <f t="shared" si="45"/>
        <v>8.5556031273154129</v>
      </c>
      <c r="K67" s="303"/>
      <c r="L67" s="302">
        <v>6.1206017628553306</v>
      </c>
      <c r="M67" s="302">
        <v>0.53154466544291157</v>
      </c>
      <c r="N67" s="302">
        <v>0.47739443865180126</v>
      </c>
      <c r="O67" s="302">
        <f t="shared" si="44"/>
        <v>7.1295408669500437</v>
      </c>
    </row>
    <row r="68" spans="1:15" s="236" customFormat="1" x14ac:dyDescent="0.2">
      <c r="A68" s="237" t="str">
        <f>name!E$12</f>
        <v>Elementary occupations</v>
      </c>
      <c r="B68" s="302">
        <v>4.0034223484713829</v>
      </c>
      <c r="C68" s="302">
        <v>0.80850405381010204</v>
      </c>
      <c r="D68" s="302">
        <v>4.413293794946066E-2</v>
      </c>
      <c r="E68" s="302">
        <f t="shared" si="42"/>
        <v>4.8560593402309458</v>
      </c>
      <c r="F68" s="303"/>
      <c r="G68" s="302">
        <v>3.2903548087281824</v>
      </c>
      <c r="H68" s="302">
        <v>0.5713368001260245</v>
      </c>
      <c r="I68" s="302">
        <v>7.9910462887157363E-2</v>
      </c>
      <c r="J68" s="302">
        <f t="shared" si="45"/>
        <v>3.9416020717413645</v>
      </c>
      <c r="K68" s="303"/>
      <c r="L68" s="302">
        <v>1.9695506987138287</v>
      </c>
      <c r="M68" s="302">
        <v>0.36396550840165698</v>
      </c>
      <c r="N68" s="302">
        <v>8.2049649181307097E-2</v>
      </c>
      <c r="O68" s="302">
        <f t="shared" si="44"/>
        <v>2.4155658562967925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32</v>
      </c>
      <c r="B70" s="311">
        <f>SUM(B60:B68)</f>
        <v>25.245999999946253</v>
      </c>
      <c r="C70" s="311">
        <f t="shared" ref="C70:E70" si="46">SUM(C60:C68)</f>
        <v>4.0090000000263384</v>
      </c>
      <c r="D70" s="311">
        <f t="shared" si="46"/>
        <v>1.6800000000026767</v>
      </c>
      <c r="E70" s="311">
        <f t="shared" si="46"/>
        <v>30.934999999975272</v>
      </c>
      <c r="F70" s="311"/>
      <c r="G70" s="311">
        <f t="shared" ref="G70:J70" si="47">SUM(G60:G68)</f>
        <v>24.079000000197865</v>
      </c>
      <c r="H70" s="311">
        <f t="shared" si="47"/>
        <v>3.1900000000521525</v>
      </c>
      <c r="I70" s="311">
        <f t="shared" si="47"/>
        <v>2.7479999999598008</v>
      </c>
      <c r="J70" s="311">
        <f t="shared" si="47"/>
        <v>30.017000000209819</v>
      </c>
      <c r="K70" s="311"/>
      <c r="L70" s="311">
        <f t="shared" ref="L70:O70" si="48">SUM(L60:L68)</f>
        <v>18.53100000018938</v>
      </c>
      <c r="M70" s="311">
        <f t="shared" si="48"/>
        <v>2.4269999999761893</v>
      </c>
      <c r="N70" s="311">
        <f t="shared" si="48"/>
        <v>2.231999999994692</v>
      </c>
      <c r="O70" s="311">
        <f t="shared" si="48"/>
        <v>23.190000000160261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name!A7</f>
        <v>Beverages and tobacco</v>
      </c>
      <c r="B74" s="374">
        <f>$B$6</f>
        <v>2015</v>
      </c>
      <c r="C74" s="374"/>
      <c r="D74" s="374"/>
      <c r="E74" s="374"/>
      <c r="F74" s="263"/>
      <c r="G74" s="374">
        <f>$G$6</f>
        <v>2020</v>
      </c>
      <c r="H74" s="374"/>
      <c r="I74" s="374"/>
      <c r="J74" s="374"/>
      <c r="K74" s="263"/>
      <c r="L74" s="374">
        <f>$L$6</f>
        <v>2035</v>
      </c>
      <c r="M74" s="374"/>
      <c r="N74" s="374"/>
      <c r="O74" s="374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0.41719409865483686</v>
      </c>
      <c r="C77" s="302">
        <v>4.4008706146920047E-2</v>
      </c>
      <c r="D77" s="302">
        <v>1.7662143354554929E-2</v>
      </c>
      <c r="E77" s="302">
        <f>SUM(B77:D77)</f>
        <v>0.47886494815631181</v>
      </c>
      <c r="F77" s="303"/>
      <c r="G77" s="302">
        <v>0.51155036287217537</v>
      </c>
      <c r="H77" s="302">
        <v>0.11875811357848048</v>
      </c>
      <c r="I77" s="302">
        <v>5.1483119760571128E-2</v>
      </c>
      <c r="J77" s="302">
        <f>SUM(G77:I77)</f>
        <v>0.68179159621122709</v>
      </c>
      <c r="K77" s="303"/>
      <c r="L77" s="302">
        <v>0.43159533562529723</v>
      </c>
      <c r="M77" s="302">
        <v>0.10231358365649799</v>
      </c>
      <c r="N77" s="302">
        <v>5.0672439141135985E-2</v>
      </c>
      <c r="O77" s="302">
        <f>SUM(L77:N77)</f>
        <v>0.58458135842293113</v>
      </c>
    </row>
    <row r="78" spans="1:15" s="236" customFormat="1" x14ac:dyDescent="0.2">
      <c r="A78" s="237" t="str">
        <f>name!E$5</f>
        <v>Professional occupations</v>
      </c>
      <c r="B78" s="302">
        <v>0.49531139408029479</v>
      </c>
      <c r="C78" s="302">
        <v>6.6507479462236105E-2</v>
      </c>
      <c r="D78" s="302">
        <v>1.7954745998978391E-2</v>
      </c>
      <c r="E78" s="302">
        <f t="shared" ref="E78:E85" si="49">SUM(B78:D78)</f>
        <v>0.5797736195415093</v>
      </c>
      <c r="F78" s="303"/>
      <c r="G78" s="302">
        <v>0.702746773213207</v>
      </c>
      <c r="H78" s="302">
        <v>0.16021076733999953</v>
      </c>
      <c r="I78" s="302">
        <v>4.6847136479469191E-2</v>
      </c>
      <c r="J78" s="302">
        <f t="shared" ref="J78:J80" si="50">SUM(G78:I78)</f>
        <v>0.90980467703267565</v>
      </c>
      <c r="K78" s="303"/>
      <c r="L78" s="302">
        <v>0.67226994355290726</v>
      </c>
      <c r="M78" s="302">
        <v>0.1176747247224648</v>
      </c>
      <c r="N78" s="302">
        <v>2.7401217977519359E-2</v>
      </c>
      <c r="O78" s="302">
        <f t="shared" ref="O78:O85" si="51">SUM(L78:N78)</f>
        <v>0.8173458862528914</v>
      </c>
    </row>
    <row r="79" spans="1:15" s="236" customFormat="1" x14ac:dyDescent="0.2">
      <c r="A79" s="237" t="str">
        <f>name!E$6</f>
        <v>Associate professional occupations</v>
      </c>
      <c r="B79" s="302">
        <v>0.53258763556290134</v>
      </c>
      <c r="C79" s="302">
        <v>0.12328204066498476</v>
      </c>
      <c r="D79" s="302">
        <v>1.410887521227566E-2</v>
      </c>
      <c r="E79" s="302">
        <f t="shared" si="49"/>
        <v>0.66997855144016172</v>
      </c>
      <c r="F79" s="303"/>
      <c r="G79" s="302">
        <v>0.68698443457449276</v>
      </c>
      <c r="H79" s="302">
        <v>0.26355807278044135</v>
      </c>
      <c r="I79" s="302">
        <v>4.1842247788671912E-2</v>
      </c>
      <c r="J79" s="302">
        <f t="shared" si="50"/>
        <v>0.99238475514360602</v>
      </c>
      <c r="K79" s="303"/>
      <c r="L79" s="302">
        <v>0.58114985392437901</v>
      </c>
      <c r="M79" s="302">
        <v>0.17948385225460817</v>
      </c>
      <c r="N79" s="302">
        <v>2.4832016828307747E-2</v>
      </c>
      <c r="O79" s="302">
        <f t="shared" si="51"/>
        <v>0.78546572300729489</v>
      </c>
    </row>
    <row r="80" spans="1:15" s="236" customFormat="1" x14ac:dyDescent="0.2">
      <c r="A80" s="237" t="str">
        <f>name!E$7</f>
        <v>Administrative and secretarial occupations</v>
      </c>
      <c r="B80" s="302">
        <v>0.55149181863593921</v>
      </c>
      <c r="C80" s="302">
        <v>0.2070299499297189</v>
      </c>
      <c r="D80" s="302">
        <v>2.9116879029263505E-3</v>
      </c>
      <c r="E80" s="302">
        <f t="shared" si="49"/>
        <v>0.76143345646858451</v>
      </c>
      <c r="F80" s="303"/>
      <c r="G80" s="302">
        <v>0.56845096512899873</v>
      </c>
      <c r="H80" s="302">
        <v>0.3489570034097243</v>
      </c>
      <c r="I80" s="302">
        <v>1.2094926821523928E-2</v>
      </c>
      <c r="J80" s="302">
        <f t="shared" si="50"/>
        <v>0.92950289536024699</v>
      </c>
      <c r="K80" s="303"/>
      <c r="L80" s="302">
        <v>0.30893922226840975</v>
      </c>
      <c r="M80" s="302">
        <v>0.22626483827270083</v>
      </c>
      <c r="N80" s="302">
        <v>6.0127618597507482E-3</v>
      </c>
      <c r="O80" s="302">
        <f t="shared" si="51"/>
        <v>0.54121682240086133</v>
      </c>
    </row>
    <row r="81" spans="1:15" s="236" customFormat="1" x14ac:dyDescent="0.2">
      <c r="A81" s="237" t="str">
        <f>name!E$8</f>
        <v>Skilled trades occupations</v>
      </c>
      <c r="B81" s="302">
        <v>0.17280485932249928</v>
      </c>
      <c r="C81" s="302">
        <v>2.2393672296076254E-2</v>
      </c>
      <c r="D81" s="302">
        <v>5.6328741246305512E-2</v>
      </c>
      <c r="E81" s="302">
        <f t="shared" si="49"/>
        <v>0.25152727286488102</v>
      </c>
      <c r="F81" s="303"/>
      <c r="G81" s="302">
        <v>0.15334460315398099</v>
      </c>
      <c r="H81" s="302">
        <v>3.0595756196403683E-2</v>
      </c>
      <c r="I81" s="302">
        <v>9.0792116686699106E-2</v>
      </c>
      <c r="J81" s="302">
        <f>SUM(G81:I81)</f>
        <v>0.27473247603708378</v>
      </c>
      <c r="K81" s="303"/>
      <c r="L81" s="302">
        <v>0.14480616902683713</v>
      </c>
      <c r="M81" s="302">
        <v>3.102191460216069E-2</v>
      </c>
      <c r="N81" s="302">
        <v>7.9808585485763306E-2</v>
      </c>
      <c r="O81" s="302">
        <f t="shared" si="51"/>
        <v>0.25563666911476113</v>
      </c>
    </row>
    <row r="82" spans="1:15" s="236" customFormat="1" x14ac:dyDescent="0.2">
      <c r="A82" s="237" t="str">
        <f>name!E$9</f>
        <v>Caring, leisure and other service occupations</v>
      </c>
      <c r="B82" s="302">
        <v>0.13772921689961171</v>
      </c>
      <c r="C82" s="302">
        <v>3.7133377056642734E-2</v>
      </c>
      <c r="D82" s="302">
        <v>5.4678275117147953E-3</v>
      </c>
      <c r="E82" s="302">
        <f t="shared" si="49"/>
        <v>0.18033042146796924</v>
      </c>
      <c r="F82" s="303"/>
      <c r="G82" s="302">
        <v>0.1528844994262416</v>
      </c>
      <c r="H82" s="302">
        <v>6.4053978013673296E-2</v>
      </c>
      <c r="I82" s="302">
        <v>3.4575618747471178E-2</v>
      </c>
      <c r="J82" s="302">
        <f t="shared" ref="J82:J85" si="52">SUM(G82:I82)</f>
        <v>0.25151409618738607</v>
      </c>
      <c r="K82" s="303"/>
      <c r="L82" s="302">
        <v>0.13638808818908296</v>
      </c>
      <c r="M82" s="302">
        <v>3.5367513521371532E-2</v>
      </c>
      <c r="N82" s="302">
        <v>2.4492090722480465E-2</v>
      </c>
      <c r="O82" s="302">
        <f t="shared" si="51"/>
        <v>0.19624769243293497</v>
      </c>
    </row>
    <row r="83" spans="1:15" s="236" customFormat="1" x14ac:dyDescent="0.2">
      <c r="A83" s="237" t="str">
        <f>name!E$10</f>
        <v>Sales and customer service occupations</v>
      </c>
      <c r="B83" s="302">
        <v>0.20118786501944044</v>
      </c>
      <c r="C83" s="302">
        <v>9.8943739083929103E-2</v>
      </c>
      <c r="D83" s="302">
        <v>5.9993560430812156E-3</v>
      </c>
      <c r="E83" s="302">
        <f t="shared" si="49"/>
        <v>0.30613096014645075</v>
      </c>
      <c r="F83" s="303"/>
      <c r="G83" s="302">
        <v>0.2047277906532613</v>
      </c>
      <c r="H83" s="302">
        <v>0.18917952805283447</v>
      </c>
      <c r="I83" s="302">
        <v>1.3034366339861124E-2</v>
      </c>
      <c r="J83" s="302">
        <f t="shared" si="52"/>
        <v>0.40694168504595685</v>
      </c>
      <c r="K83" s="303"/>
      <c r="L83" s="302">
        <v>0.16222643625481431</v>
      </c>
      <c r="M83" s="302">
        <v>0.14731402175701092</v>
      </c>
      <c r="N83" s="302">
        <v>8.6084429054775792E-3</v>
      </c>
      <c r="O83" s="302">
        <f t="shared" si="51"/>
        <v>0.3181489009173028</v>
      </c>
    </row>
    <row r="84" spans="1:15" s="236" customFormat="1" x14ac:dyDescent="0.2">
      <c r="A84" s="237" t="str">
        <f>name!E$11</f>
        <v>Process, plant and machine operatives</v>
      </c>
      <c r="B84" s="302">
        <v>0.57390690814680667</v>
      </c>
      <c r="C84" s="302">
        <v>6.1549300144536363E-2</v>
      </c>
      <c r="D84" s="302">
        <v>9.1320148267112593E-3</v>
      </c>
      <c r="E84" s="302">
        <f t="shared" si="49"/>
        <v>0.6445882231180543</v>
      </c>
      <c r="F84" s="303"/>
      <c r="G84" s="302">
        <v>0.48174571241402908</v>
      </c>
      <c r="H84" s="302">
        <v>0.10251789476212381</v>
      </c>
      <c r="I84" s="302">
        <v>1.8947463344564423E-2</v>
      </c>
      <c r="J84" s="302">
        <f t="shared" si="52"/>
        <v>0.60321107052071732</v>
      </c>
      <c r="K84" s="303"/>
      <c r="L84" s="302">
        <v>0.3983566552978498</v>
      </c>
      <c r="M84" s="302">
        <v>0.17511140275031131</v>
      </c>
      <c r="N84" s="302">
        <v>2.3722342581181249E-2</v>
      </c>
      <c r="O84" s="302">
        <f t="shared" si="51"/>
        <v>0.59719040062934237</v>
      </c>
    </row>
    <row r="85" spans="1:15" s="236" customFormat="1" x14ac:dyDescent="0.2">
      <c r="A85" s="237" t="str">
        <f>name!E$12</f>
        <v>Elementary occupations</v>
      </c>
      <c r="B85" s="302">
        <v>0.27978620366819451</v>
      </c>
      <c r="C85" s="302">
        <v>7.2151735212482901E-2</v>
      </c>
      <c r="D85" s="302">
        <v>9.4346079023409201E-3</v>
      </c>
      <c r="E85" s="302">
        <f t="shared" si="49"/>
        <v>0.36137254678301833</v>
      </c>
      <c r="F85" s="303"/>
      <c r="G85" s="302">
        <v>0.23056485856517106</v>
      </c>
      <c r="H85" s="302">
        <v>0.10616888587719944</v>
      </c>
      <c r="I85" s="302">
        <v>2.5383004028979701E-2</v>
      </c>
      <c r="J85" s="302">
        <f t="shared" si="52"/>
        <v>0.36211674847135017</v>
      </c>
      <c r="K85" s="303"/>
      <c r="L85" s="302">
        <v>0.14826829586871343</v>
      </c>
      <c r="M85" s="302">
        <v>3.5448148457512318E-2</v>
      </c>
      <c r="N85" s="302">
        <v>2.9450102495794675E-2</v>
      </c>
      <c r="O85" s="302">
        <f t="shared" si="51"/>
        <v>0.21316654682202041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32</v>
      </c>
      <c r="B87" s="311">
        <f>SUM(B77:B85)</f>
        <v>3.361999999990525</v>
      </c>
      <c r="C87" s="311">
        <f t="shared" ref="C87:E87" si="53">SUM(C77:C85)</f>
        <v>0.73299999999752719</v>
      </c>
      <c r="D87" s="311">
        <f t="shared" si="53"/>
        <v>0.13899999999888901</v>
      </c>
      <c r="E87" s="311">
        <f t="shared" si="53"/>
        <v>4.2339999999869411</v>
      </c>
      <c r="F87" s="311"/>
      <c r="G87" s="311">
        <f t="shared" ref="G87:J87" si="54">SUM(G77:G85)</f>
        <v>3.6930000000015579</v>
      </c>
      <c r="H87" s="311">
        <f t="shared" si="54"/>
        <v>1.3840000000108805</v>
      </c>
      <c r="I87" s="311">
        <f t="shared" si="54"/>
        <v>0.33499999999781166</v>
      </c>
      <c r="J87" s="311">
        <f t="shared" si="54"/>
        <v>5.4120000000102495</v>
      </c>
      <c r="K87" s="311"/>
      <c r="L87" s="311">
        <f t="shared" ref="L87:O87" si="55">SUM(L77:L85)</f>
        <v>2.9840000000082911</v>
      </c>
      <c r="M87" s="311">
        <f t="shared" si="55"/>
        <v>1.0499999999946383</v>
      </c>
      <c r="N87" s="311">
        <f t="shared" si="55"/>
        <v>0.27499999999741109</v>
      </c>
      <c r="O87" s="311">
        <f t="shared" si="55"/>
        <v>4.3090000000003403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name!A8</f>
        <v>Textiles</v>
      </c>
      <c r="B91" s="374">
        <f>$B$6</f>
        <v>2015</v>
      </c>
      <c r="C91" s="374"/>
      <c r="D91" s="374"/>
      <c r="E91" s="374"/>
      <c r="F91" s="263"/>
      <c r="G91" s="374">
        <f>$G$6</f>
        <v>2020</v>
      </c>
      <c r="H91" s="374"/>
      <c r="I91" s="374"/>
      <c r="J91" s="374"/>
      <c r="K91" s="263"/>
      <c r="L91" s="374">
        <f>$L$6</f>
        <v>2035</v>
      </c>
      <c r="M91" s="374"/>
      <c r="N91" s="374"/>
      <c r="O91" s="374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0.15443344483963706</v>
      </c>
      <c r="C94" s="302">
        <v>2.4767229073944394E-2</v>
      </c>
      <c r="D94" s="302">
        <v>0.10205862314163819</v>
      </c>
      <c r="E94" s="302">
        <f>SUM(B94:D94)</f>
        <v>0.28125929705521968</v>
      </c>
      <c r="F94" s="303"/>
      <c r="G94" s="302">
        <v>9.8468297232388147E-2</v>
      </c>
      <c r="H94" s="302">
        <v>1.9464310624255129E-2</v>
      </c>
      <c r="I94" s="302">
        <v>0.10693475415254609</v>
      </c>
      <c r="J94" s="302">
        <f>SUM(G94:I94)</f>
        <v>0.22486736200918939</v>
      </c>
      <c r="K94" s="303"/>
      <c r="L94" s="302">
        <v>7.6149395654359894E-2</v>
      </c>
      <c r="M94" s="302">
        <v>1.3766962992869647E-2</v>
      </c>
      <c r="N94" s="302">
        <v>8.0559143028648278E-2</v>
      </c>
      <c r="O94" s="302">
        <f>SUM(L94:N94)</f>
        <v>0.17047550167587783</v>
      </c>
    </row>
    <row r="95" spans="1:15" s="236" customFormat="1" x14ac:dyDescent="0.2">
      <c r="A95" s="237" t="str">
        <f>name!E$5</f>
        <v>Professional occupations</v>
      </c>
      <c r="B95" s="302">
        <v>0.14228397256490383</v>
      </c>
      <c r="C95" s="302">
        <v>2.8031517329593931E-2</v>
      </c>
      <c r="D95" s="302">
        <v>3.9763811856965689E-2</v>
      </c>
      <c r="E95" s="302">
        <f t="shared" ref="E95:E102" si="56">SUM(B95:D95)</f>
        <v>0.21007930175146344</v>
      </c>
      <c r="F95" s="303"/>
      <c r="G95" s="302">
        <v>0.10225532486033886</v>
      </c>
      <c r="H95" s="302">
        <v>1.854017024569736E-2</v>
      </c>
      <c r="I95" s="302">
        <v>3.529567711729014E-2</v>
      </c>
      <c r="J95" s="302">
        <f t="shared" ref="J95:J97" si="57">SUM(G95:I95)</f>
        <v>0.15609117222332636</v>
      </c>
      <c r="K95" s="303"/>
      <c r="L95" s="302">
        <v>9.4595210037027241E-2</v>
      </c>
      <c r="M95" s="302">
        <v>1.1904353255983191E-2</v>
      </c>
      <c r="N95" s="302">
        <v>1.9849064432405143E-2</v>
      </c>
      <c r="O95" s="302">
        <f t="shared" ref="O95:O102" si="58">SUM(L95:N95)</f>
        <v>0.12634862772541558</v>
      </c>
    </row>
    <row r="96" spans="1:15" s="236" customFormat="1" x14ac:dyDescent="0.2">
      <c r="A96" s="237" t="str">
        <f>name!E$6</f>
        <v>Associate professional occupations</v>
      </c>
      <c r="B96" s="302">
        <v>0.1483250832033734</v>
      </c>
      <c r="C96" s="302">
        <v>6.2165376435741812E-2</v>
      </c>
      <c r="D96" s="302">
        <v>8.0866702689074602E-2</v>
      </c>
      <c r="E96" s="302">
        <f t="shared" si="56"/>
        <v>0.29135716232818981</v>
      </c>
      <c r="F96" s="303"/>
      <c r="G96" s="302">
        <v>9.6278843490949881E-2</v>
      </c>
      <c r="H96" s="302">
        <v>3.3667610677814083E-2</v>
      </c>
      <c r="I96" s="302">
        <v>9.636551822108913E-2</v>
      </c>
      <c r="J96" s="302">
        <f t="shared" si="57"/>
        <v>0.22631197238985309</v>
      </c>
      <c r="K96" s="303"/>
      <c r="L96" s="302">
        <v>7.5265569484036315E-2</v>
      </c>
      <c r="M96" s="302">
        <v>2.1916025474629282E-2</v>
      </c>
      <c r="N96" s="302">
        <v>6.875063893398918E-2</v>
      </c>
      <c r="O96" s="302">
        <f t="shared" si="58"/>
        <v>0.16593223389265477</v>
      </c>
    </row>
    <row r="97" spans="1:15" s="236" customFormat="1" x14ac:dyDescent="0.2">
      <c r="A97" s="237" t="str">
        <f>name!E$7</f>
        <v>Administrative and secretarial occupations</v>
      </c>
      <c r="B97" s="302">
        <v>0.2980300881045293</v>
      </c>
      <c r="C97" s="302">
        <v>0.11830409516137361</v>
      </c>
      <c r="D97" s="302">
        <v>8.5634240614832595E-3</v>
      </c>
      <c r="E97" s="302">
        <f t="shared" si="56"/>
        <v>0.42489760732738613</v>
      </c>
      <c r="F97" s="303"/>
      <c r="G97" s="302">
        <v>0.17538116786559005</v>
      </c>
      <c r="H97" s="302">
        <v>5.582012469184084E-2</v>
      </c>
      <c r="I97" s="302">
        <v>1.1077638731372267E-2</v>
      </c>
      <c r="J97" s="302">
        <f t="shared" si="57"/>
        <v>0.24227893128880315</v>
      </c>
      <c r="K97" s="303"/>
      <c r="L97" s="302">
        <v>0.13457761640397972</v>
      </c>
      <c r="M97" s="302">
        <v>3.0065687601759216E-2</v>
      </c>
      <c r="N97" s="302">
        <v>4.9493420842857795E-3</v>
      </c>
      <c r="O97" s="302">
        <f t="shared" si="58"/>
        <v>0.1695926460900247</v>
      </c>
    </row>
    <row r="98" spans="1:15" s="236" customFormat="1" x14ac:dyDescent="0.2">
      <c r="A98" s="237" t="str">
        <f>name!E$8</f>
        <v>Skilled trades occupations</v>
      </c>
      <c r="B98" s="302">
        <v>0.5366586660186522</v>
      </c>
      <c r="C98" s="302">
        <v>9.4960839298047925E-2</v>
      </c>
      <c r="D98" s="302">
        <v>0.17550843600267568</v>
      </c>
      <c r="E98" s="302">
        <f t="shared" si="56"/>
        <v>0.80712794131937571</v>
      </c>
      <c r="F98" s="303"/>
      <c r="G98" s="302">
        <v>0.23190860444726522</v>
      </c>
      <c r="H98" s="302">
        <v>3.6783218149309752E-2</v>
      </c>
      <c r="I98" s="302">
        <v>0.21951927741927385</v>
      </c>
      <c r="J98" s="302">
        <f>SUM(G98:I98)</f>
        <v>0.48821110001584883</v>
      </c>
      <c r="K98" s="303"/>
      <c r="L98" s="302">
        <v>0.15108085792374187</v>
      </c>
      <c r="M98" s="302">
        <v>2.7391629416535605E-2</v>
      </c>
      <c r="N98" s="302">
        <v>0.15815878635086336</v>
      </c>
      <c r="O98" s="302">
        <f t="shared" si="58"/>
        <v>0.33663127369114088</v>
      </c>
    </row>
    <row r="99" spans="1:15" s="236" customFormat="1" x14ac:dyDescent="0.2">
      <c r="A99" s="237" t="str">
        <f>name!E$9</f>
        <v>Caring, leisure and other service occupations</v>
      </c>
      <c r="B99" s="302">
        <v>1.7179144932394055E-2</v>
      </c>
      <c r="C99" s="302">
        <v>4.0790838283167336E-3</v>
      </c>
      <c r="D99" s="302">
        <v>3.128781282135651E-3</v>
      </c>
      <c r="E99" s="302">
        <f t="shared" si="56"/>
        <v>2.4387010042846442E-2</v>
      </c>
      <c r="F99" s="303"/>
      <c r="G99" s="302">
        <v>8.9242247264705605E-3</v>
      </c>
      <c r="H99" s="302">
        <v>1.9599013191048953E-3</v>
      </c>
      <c r="I99" s="302">
        <v>1.0539351766779215E-2</v>
      </c>
      <c r="J99" s="302">
        <f t="shared" ref="J99:J102" si="59">SUM(G99:I99)</f>
        <v>2.1423477812354673E-2</v>
      </c>
      <c r="K99" s="303"/>
      <c r="L99" s="302">
        <v>7.5794883738675416E-3</v>
      </c>
      <c r="M99" s="302">
        <v>1.1653652209209886E-3</v>
      </c>
      <c r="N99" s="302">
        <v>9.2728916548505281E-3</v>
      </c>
      <c r="O99" s="302">
        <f t="shared" si="58"/>
        <v>1.8017745249639058E-2</v>
      </c>
    </row>
    <row r="100" spans="1:15" s="236" customFormat="1" x14ac:dyDescent="0.2">
      <c r="A100" s="237" t="str">
        <f>name!E$10</f>
        <v>Sales and customer service occupations</v>
      </c>
      <c r="B100" s="302">
        <v>8.2208813782839521E-2</v>
      </c>
      <c r="C100" s="302">
        <v>9.9051397572706326E-2</v>
      </c>
      <c r="D100" s="302">
        <v>1.889890244667802E-2</v>
      </c>
      <c r="E100" s="302">
        <f t="shared" si="56"/>
        <v>0.20015911380222387</v>
      </c>
      <c r="F100" s="303"/>
      <c r="G100" s="302">
        <v>4.2177507380228026E-2</v>
      </c>
      <c r="H100" s="302">
        <v>4.6126654160843029E-2</v>
      </c>
      <c r="I100" s="302">
        <v>2.6248369315089604E-2</v>
      </c>
      <c r="J100" s="302">
        <f t="shared" si="59"/>
        <v>0.11455253085616066</v>
      </c>
      <c r="K100" s="303"/>
      <c r="L100" s="302">
        <v>3.5272971683085338E-2</v>
      </c>
      <c r="M100" s="302">
        <v>3.2064060227218055E-2</v>
      </c>
      <c r="N100" s="302">
        <v>1.6969183551047668E-2</v>
      </c>
      <c r="O100" s="302">
        <f t="shared" si="58"/>
        <v>8.4306215461351058E-2</v>
      </c>
    </row>
    <row r="101" spans="1:15" s="236" customFormat="1" x14ac:dyDescent="0.2">
      <c r="A101" s="237" t="str">
        <f>name!E$11</f>
        <v>Process, plant and machine operatives</v>
      </c>
      <c r="B101" s="302">
        <v>0.48283544068099959</v>
      </c>
      <c r="C101" s="302">
        <v>0.22542635438646172</v>
      </c>
      <c r="D101" s="302">
        <v>8.0705156776449113E-2</v>
      </c>
      <c r="E101" s="302">
        <f t="shared" si="56"/>
        <v>0.78896695184391041</v>
      </c>
      <c r="F101" s="303"/>
      <c r="G101" s="302">
        <v>0.20574778509365058</v>
      </c>
      <c r="H101" s="302">
        <v>9.9620114036018032E-2</v>
      </c>
      <c r="I101" s="302">
        <v>0.17847588525972219</v>
      </c>
      <c r="J101" s="302">
        <f t="shared" si="59"/>
        <v>0.4838437843893908</v>
      </c>
      <c r="K101" s="303"/>
      <c r="L101" s="302">
        <v>0.15555933672286326</v>
      </c>
      <c r="M101" s="302">
        <v>9.5590393345210578E-2</v>
      </c>
      <c r="N101" s="302">
        <v>0.13356197237662623</v>
      </c>
      <c r="O101" s="302">
        <f t="shared" si="58"/>
        <v>0.3847117024447001</v>
      </c>
    </row>
    <row r="102" spans="1:15" s="236" customFormat="1" x14ac:dyDescent="0.2">
      <c r="A102" s="237" t="str">
        <f>name!E$12</f>
        <v>Elementary occupations</v>
      </c>
      <c r="B102" s="302">
        <v>0.25504534586708483</v>
      </c>
      <c r="C102" s="302">
        <v>6.6214106919196797E-2</v>
      </c>
      <c r="D102" s="302">
        <v>1.3506161748589025E-2</v>
      </c>
      <c r="E102" s="302">
        <f t="shared" si="56"/>
        <v>0.33476561453487069</v>
      </c>
      <c r="F102" s="303"/>
      <c r="G102" s="302">
        <v>0.11485824490836506</v>
      </c>
      <c r="H102" s="302">
        <v>2.8017896102593681E-2</v>
      </c>
      <c r="I102" s="302">
        <v>1.8543528002524311E-2</v>
      </c>
      <c r="J102" s="302">
        <f t="shared" si="59"/>
        <v>0.16141966901348306</v>
      </c>
      <c r="K102" s="303"/>
      <c r="L102" s="302">
        <v>6.8919553726130914E-2</v>
      </c>
      <c r="M102" s="302">
        <v>1.2135522464437049E-2</v>
      </c>
      <c r="N102" s="302">
        <v>1.2928977589133321E-2</v>
      </c>
      <c r="O102" s="302">
        <f t="shared" si="58"/>
        <v>9.3984053779701288E-2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32</v>
      </c>
      <c r="B104" s="311">
        <f>SUM(B94:B102)</f>
        <v>2.1169999999944138</v>
      </c>
      <c r="C104" s="311">
        <f t="shared" ref="C104:E104" si="60">SUM(C94:C102)</f>
        <v>0.72300000000538323</v>
      </c>
      <c r="D104" s="311">
        <f t="shared" si="60"/>
        <v>0.52300000000568914</v>
      </c>
      <c r="E104" s="311">
        <f t="shared" si="60"/>
        <v>3.3630000000054863</v>
      </c>
      <c r="F104" s="311"/>
      <c r="G104" s="311">
        <f t="shared" ref="G104:J104" si="61">SUM(G94:G102)</f>
        <v>1.0760000000052465</v>
      </c>
      <c r="H104" s="311">
        <f t="shared" si="61"/>
        <v>0.34000000000747682</v>
      </c>
      <c r="I104" s="311">
        <f t="shared" si="61"/>
        <v>0.70299999998568685</v>
      </c>
      <c r="J104" s="311">
        <f t="shared" si="61"/>
        <v>2.1189999999984099</v>
      </c>
      <c r="K104" s="311"/>
      <c r="L104" s="311">
        <f t="shared" ref="L104:O104" si="62">SUM(L94:L102)</f>
        <v>0.7990000000090921</v>
      </c>
      <c r="M104" s="311">
        <f t="shared" si="62"/>
        <v>0.24599999999956362</v>
      </c>
      <c r="N104" s="311">
        <f t="shared" si="62"/>
        <v>0.50500000000184952</v>
      </c>
      <c r="O104" s="311">
        <f t="shared" si="62"/>
        <v>1.550000000010505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name!A9</f>
        <v>Wearing apparel; Leather, etc</v>
      </c>
      <c r="B108" s="374">
        <f>$B$6</f>
        <v>2015</v>
      </c>
      <c r="C108" s="374"/>
      <c r="D108" s="374"/>
      <c r="E108" s="374"/>
      <c r="F108" s="263"/>
      <c r="G108" s="374">
        <f>$G$6</f>
        <v>2020</v>
      </c>
      <c r="H108" s="374"/>
      <c r="I108" s="374"/>
      <c r="J108" s="374"/>
      <c r="K108" s="263"/>
      <c r="L108" s="374">
        <f>$L$6</f>
        <v>2035</v>
      </c>
      <c r="M108" s="374"/>
      <c r="N108" s="374"/>
      <c r="O108" s="374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0.15923963076180472</v>
      </c>
      <c r="C111" s="302">
        <v>1.9134158757541663E-2</v>
      </c>
      <c r="D111" s="302">
        <v>6.3060961454587408E-2</v>
      </c>
      <c r="E111" s="302">
        <f>SUM(B111:D111)</f>
        <v>0.2414347509739338</v>
      </c>
      <c r="F111" s="303"/>
      <c r="G111" s="302">
        <v>0.14874208333056729</v>
      </c>
      <c r="H111" s="302">
        <v>2.0879552867865473E-2</v>
      </c>
      <c r="I111" s="302">
        <v>0.1459831612881852</v>
      </c>
      <c r="J111" s="302">
        <f>SUM(G111:I111)</f>
        <v>0.31560479748661796</v>
      </c>
      <c r="K111" s="303"/>
      <c r="L111" s="302">
        <v>9.6929830962172586E-2</v>
      </c>
      <c r="M111" s="302">
        <v>1.3417573813154188E-2</v>
      </c>
      <c r="N111" s="302">
        <v>0.10451252467480752</v>
      </c>
      <c r="O111" s="302">
        <f>SUM(L111:N111)</f>
        <v>0.2148599294501343</v>
      </c>
    </row>
    <row r="112" spans="1:15" s="236" customFormat="1" x14ac:dyDescent="0.2">
      <c r="A112" s="237" t="str">
        <f>name!E$5</f>
        <v>Professional occupations</v>
      </c>
      <c r="B112" s="302">
        <v>0.21329385274860055</v>
      </c>
      <c r="C112" s="302">
        <v>2.0981442675463095E-2</v>
      </c>
      <c r="D112" s="302">
        <v>3.1129159329126736E-2</v>
      </c>
      <c r="E112" s="302">
        <f t="shared" ref="E112:E119" si="63">SUM(B112:D112)</f>
        <v>0.26540445475319036</v>
      </c>
      <c r="F112" s="303"/>
      <c r="G112" s="302">
        <v>0.40143853985107797</v>
      </c>
      <c r="H112" s="302">
        <v>4.7488927366026092E-2</v>
      </c>
      <c r="I112" s="302">
        <v>6.3284776819293065E-2</v>
      </c>
      <c r="J112" s="302">
        <f t="shared" ref="J112:J114" si="64">SUM(G112:I112)</f>
        <v>0.5122122440363972</v>
      </c>
      <c r="K112" s="303"/>
      <c r="L112" s="302">
        <v>0.38915650137193097</v>
      </c>
      <c r="M112" s="302">
        <v>4.9662961164595357E-2</v>
      </c>
      <c r="N112" s="302">
        <v>3.7693523883676576E-2</v>
      </c>
      <c r="O112" s="302">
        <f t="shared" ref="O112:O119" si="65">SUM(L112:N112)</f>
        <v>0.4765129864202029</v>
      </c>
    </row>
    <row r="113" spans="1:15" s="236" customFormat="1" x14ac:dyDescent="0.2">
      <c r="A113" s="237" t="str">
        <f>name!E$6</f>
        <v>Associate professional occupations</v>
      </c>
      <c r="B113" s="302">
        <v>0.18976830310491549</v>
      </c>
      <c r="C113" s="302">
        <v>5.4059596658388796E-2</v>
      </c>
      <c r="D113" s="302">
        <v>6.1609301120077273E-2</v>
      </c>
      <c r="E113" s="302">
        <f t="shared" si="63"/>
        <v>0.30543720088338155</v>
      </c>
      <c r="F113" s="303"/>
      <c r="G113" s="302">
        <v>0.2063131837751383</v>
      </c>
      <c r="H113" s="302">
        <v>5.5629245235078298E-2</v>
      </c>
      <c r="I113" s="302">
        <v>0.21026402174187728</v>
      </c>
      <c r="J113" s="302">
        <f t="shared" si="64"/>
        <v>0.47220645075209389</v>
      </c>
      <c r="K113" s="303"/>
      <c r="L113" s="302">
        <v>0.14933146514700621</v>
      </c>
      <c r="M113" s="302">
        <v>4.5598809737720868E-2</v>
      </c>
      <c r="N113" s="302">
        <v>0.14837405798060155</v>
      </c>
      <c r="O113" s="302">
        <f t="shared" si="65"/>
        <v>0.34330433286532863</v>
      </c>
    </row>
    <row r="114" spans="1:15" s="236" customFormat="1" x14ac:dyDescent="0.2">
      <c r="A114" s="237" t="str">
        <f>name!E$7</f>
        <v>Administrative and secretarial occupations</v>
      </c>
      <c r="B114" s="302">
        <v>0.27872439969157464</v>
      </c>
      <c r="C114" s="302">
        <v>8.4457584589245752E-2</v>
      </c>
      <c r="D114" s="302">
        <v>1.5667680105112936E-2</v>
      </c>
      <c r="E114" s="302">
        <f t="shared" si="63"/>
        <v>0.37884966438593332</v>
      </c>
      <c r="F114" s="303"/>
      <c r="G114" s="302">
        <v>0.21802410704850855</v>
      </c>
      <c r="H114" s="302">
        <v>7.2128789434757007E-2</v>
      </c>
      <c r="I114" s="302">
        <v>2.6930802742698625E-2</v>
      </c>
      <c r="J114" s="302">
        <f t="shared" si="64"/>
        <v>0.31708369922596419</v>
      </c>
      <c r="K114" s="303"/>
      <c r="L114" s="302">
        <v>0.12757387578774831</v>
      </c>
      <c r="M114" s="302">
        <v>7.0813361813009179E-2</v>
      </c>
      <c r="N114" s="302">
        <v>1.452913009415229E-2</v>
      </c>
      <c r="O114" s="302">
        <f t="shared" si="65"/>
        <v>0.21291636769490979</v>
      </c>
    </row>
    <row r="115" spans="1:15" s="236" customFormat="1" x14ac:dyDescent="0.2">
      <c r="A115" s="237" t="str">
        <f>name!E$8</f>
        <v>Skilled trades occupations</v>
      </c>
      <c r="B115" s="302">
        <v>0.38576384468370689</v>
      </c>
      <c r="C115" s="302">
        <v>6.4766396482988098E-2</v>
      </c>
      <c r="D115" s="302">
        <v>0.16366060470529181</v>
      </c>
      <c r="E115" s="302">
        <f t="shared" si="63"/>
        <v>0.6141908458719868</v>
      </c>
      <c r="F115" s="303"/>
      <c r="G115" s="302">
        <v>0.29055140599126539</v>
      </c>
      <c r="H115" s="302">
        <v>4.2386601992182589E-2</v>
      </c>
      <c r="I115" s="302">
        <v>0.3914530971692094</v>
      </c>
      <c r="J115" s="302">
        <f>SUM(G115:I115)</f>
        <v>0.72439110515265737</v>
      </c>
      <c r="K115" s="303"/>
      <c r="L115" s="302">
        <v>0.17451188198345643</v>
      </c>
      <c r="M115" s="302">
        <v>2.5231725692090524E-2</v>
      </c>
      <c r="N115" s="302">
        <v>0.27826528929477151</v>
      </c>
      <c r="O115" s="302">
        <f t="shared" si="65"/>
        <v>0.47800889697031845</v>
      </c>
    </row>
    <row r="116" spans="1:15" s="236" customFormat="1" x14ac:dyDescent="0.2">
      <c r="A116" s="237" t="str">
        <f>name!E$9</f>
        <v>Caring, leisure and other service occupations</v>
      </c>
      <c r="B116" s="302">
        <v>2.4254414619099308E-2</v>
      </c>
      <c r="C116" s="302">
        <v>9.3086944751999655E-3</v>
      </c>
      <c r="D116" s="302">
        <v>3.3699903014488058E-3</v>
      </c>
      <c r="E116" s="302">
        <f t="shared" si="63"/>
        <v>3.6933099395748077E-2</v>
      </c>
      <c r="F116" s="303"/>
      <c r="G116" s="302">
        <v>0.12219607314005498</v>
      </c>
      <c r="H116" s="302">
        <v>3.7087477310738727E-2</v>
      </c>
      <c r="I116" s="302">
        <v>2.6823036769878902E-2</v>
      </c>
      <c r="J116" s="302">
        <f t="shared" ref="J116:J119" si="66">SUM(G116:I116)</f>
        <v>0.18610658722067261</v>
      </c>
      <c r="K116" s="303"/>
      <c r="L116" s="302">
        <v>0.14677045882621087</v>
      </c>
      <c r="M116" s="302">
        <v>3.8778302648870867E-2</v>
      </c>
      <c r="N116" s="302">
        <v>2.4487848636032497E-2</v>
      </c>
      <c r="O116" s="302">
        <f t="shared" si="65"/>
        <v>0.21003661011111424</v>
      </c>
    </row>
    <row r="117" spans="1:15" s="236" customFormat="1" x14ac:dyDescent="0.2">
      <c r="A117" s="237" t="str">
        <f>name!E$10</f>
        <v>Sales and customer service occupations</v>
      </c>
      <c r="B117" s="302">
        <v>8.7178063456397975E-2</v>
      </c>
      <c r="C117" s="302">
        <v>9.0488289977177908E-2</v>
      </c>
      <c r="D117" s="302">
        <v>7.7780804917652342E-3</v>
      </c>
      <c r="E117" s="302">
        <f t="shared" si="63"/>
        <v>0.18544443392534113</v>
      </c>
      <c r="F117" s="303"/>
      <c r="G117" s="302">
        <v>8.2276961675904717E-2</v>
      </c>
      <c r="H117" s="302">
        <v>6.01347915260384E-2</v>
      </c>
      <c r="I117" s="302">
        <v>2.3030572211475749E-2</v>
      </c>
      <c r="J117" s="302">
        <f t="shared" si="66"/>
        <v>0.16544232541341886</v>
      </c>
      <c r="K117" s="303"/>
      <c r="L117" s="302">
        <v>6.4423493416421992E-2</v>
      </c>
      <c r="M117" s="302">
        <v>3.2267994164136712E-2</v>
      </c>
      <c r="N117" s="302">
        <v>1.531873234036538E-2</v>
      </c>
      <c r="O117" s="302">
        <f t="shared" si="65"/>
        <v>0.11201021992092408</v>
      </c>
    </row>
    <row r="118" spans="1:15" s="236" customFormat="1" x14ac:dyDescent="0.2">
      <c r="A118" s="237" t="str">
        <f>name!E$11</f>
        <v>Process, plant and machine operatives</v>
      </c>
      <c r="B118" s="302">
        <v>0.45780663962014806</v>
      </c>
      <c r="C118" s="302">
        <v>0.13640920047019148</v>
      </c>
      <c r="D118" s="302">
        <v>5.4463249706706636E-2</v>
      </c>
      <c r="E118" s="302">
        <f t="shared" si="63"/>
        <v>0.64867908979704625</v>
      </c>
      <c r="F118" s="303"/>
      <c r="G118" s="302">
        <v>0.24176757445467914</v>
      </c>
      <c r="H118" s="302">
        <v>6.0187244555971957E-2</v>
      </c>
      <c r="I118" s="302">
        <v>0.11945506003673605</v>
      </c>
      <c r="J118" s="302">
        <f t="shared" si="66"/>
        <v>0.42140987904738714</v>
      </c>
      <c r="K118" s="303"/>
      <c r="L118" s="302">
        <v>0.18510572209819937</v>
      </c>
      <c r="M118" s="302">
        <v>1.0255922742937039E-2</v>
      </c>
      <c r="N118" s="302">
        <v>0.10757321025638193</v>
      </c>
      <c r="O118" s="302">
        <f t="shared" si="65"/>
        <v>0.30293485509751833</v>
      </c>
    </row>
    <row r="119" spans="1:15" s="236" customFormat="1" x14ac:dyDescent="0.2">
      <c r="A119" s="237" t="str">
        <f>name!E$12</f>
        <v>Elementary occupations</v>
      </c>
      <c r="B119" s="302">
        <v>0.52497085130715959</v>
      </c>
      <c r="C119" s="302">
        <v>6.939463591783683E-2</v>
      </c>
      <c r="D119" s="302">
        <v>4.2260972789907467E-2</v>
      </c>
      <c r="E119" s="302">
        <f t="shared" si="63"/>
        <v>0.63662646001490386</v>
      </c>
      <c r="F119" s="303"/>
      <c r="G119" s="302">
        <v>0.4666900707474157</v>
      </c>
      <c r="H119" s="302">
        <v>5.9077369719032637E-2</v>
      </c>
      <c r="I119" s="302">
        <v>0.10477547119761593</v>
      </c>
      <c r="J119" s="302">
        <f t="shared" si="66"/>
        <v>0.63054291166406418</v>
      </c>
      <c r="K119" s="303"/>
      <c r="L119" s="302">
        <v>0.2881967704276584</v>
      </c>
      <c r="M119" s="302">
        <v>4.2973348220789222E-2</v>
      </c>
      <c r="N119" s="302">
        <v>8.0245682842295399E-2</v>
      </c>
      <c r="O119" s="302">
        <f t="shared" si="65"/>
        <v>0.41141580149074303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32</v>
      </c>
      <c r="B121" s="311">
        <f>SUM(B111:B119)</f>
        <v>2.3209999999934072</v>
      </c>
      <c r="C121" s="311">
        <f t="shared" ref="C121:E121" si="67">SUM(C111:C119)</f>
        <v>0.54900000000403348</v>
      </c>
      <c r="D121" s="311">
        <f t="shared" si="67"/>
        <v>0.44300000000402434</v>
      </c>
      <c r="E121" s="311">
        <f t="shared" si="67"/>
        <v>3.3130000000014652</v>
      </c>
      <c r="F121" s="311"/>
      <c r="G121" s="311">
        <f t="shared" ref="G121:J121" si="68">SUM(G111:G119)</f>
        <v>2.1780000000146122</v>
      </c>
      <c r="H121" s="311">
        <f t="shared" si="68"/>
        <v>0.4550000000076912</v>
      </c>
      <c r="I121" s="311">
        <f t="shared" si="68"/>
        <v>1.1119999999769701</v>
      </c>
      <c r="J121" s="311">
        <f t="shared" si="68"/>
        <v>3.7449999999992736</v>
      </c>
      <c r="K121" s="311"/>
      <c r="L121" s="311">
        <f t="shared" ref="L121:O121" si="69">SUM(L111:L119)</f>
        <v>1.6220000000208055</v>
      </c>
      <c r="M121" s="311">
        <f t="shared" si="69"/>
        <v>0.32899999999730395</v>
      </c>
      <c r="N121" s="311">
        <f t="shared" si="69"/>
        <v>0.81100000000308459</v>
      </c>
      <c r="O121" s="311">
        <f t="shared" si="69"/>
        <v>2.7620000000211937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name!A10</f>
        <v xml:space="preserve">Wood and cork </v>
      </c>
      <c r="B125" s="374">
        <f>$B$6</f>
        <v>2015</v>
      </c>
      <c r="C125" s="374"/>
      <c r="D125" s="374"/>
      <c r="E125" s="374"/>
      <c r="F125" s="263"/>
      <c r="G125" s="374">
        <f>$G$6</f>
        <v>2020</v>
      </c>
      <c r="H125" s="374"/>
      <c r="I125" s="374"/>
      <c r="J125" s="374"/>
      <c r="K125" s="263"/>
      <c r="L125" s="374">
        <f>$L$6</f>
        <v>2035</v>
      </c>
      <c r="M125" s="374"/>
      <c r="N125" s="374"/>
      <c r="O125" s="374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0.40722841943429644</v>
      </c>
      <c r="C128" s="302">
        <v>5.5919092612248332E-2</v>
      </c>
      <c r="D128" s="302">
        <v>1.8882761702889474E-2</v>
      </c>
      <c r="E128" s="302">
        <f>SUM(B128:D128)</f>
        <v>0.48203027374943425</v>
      </c>
      <c r="F128" s="303"/>
      <c r="G128" s="302">
        <v>0.38174915157678357</v>
      </c>
      <c r="H128" s="302">
        <v>4.502869932852234E-2</v>
      </c>
      <c r="I128" s="302">
        <v>2.2274288688601269E-2</v>
      </c>
      <c r="J128" s="302">
        <f>SUM(G128:I128)</f>
        <v>0.44905213959390716</v>
      </c>
      <c r="K128" s="303"/>
      <c r="L128" s="302">
        <v>0.40993223550265034</v>
      </c>
      <c r="M128" s="302">
        <v>5.8931690597540824E-2</v>
      </c>
      <c r="N128" s="302">
        <v>1.9705521170307105E-2</v>
      </c>
      <c r="O128" s="302">
        <f>SUM(L128:N128)</f>
        <v>0.48856944727049828</v>
      </c>
    </row>
    <row r="129" spans="1:15" s="236" customFormat="1" x14ac:dyDescent="0.2">
      <c r="A129" s="237" t="str">
        <f>name!E$5</f>
        <v>Professional occupations</v>
      </c>
      <c r="B129" s="302">
        <v>0.30857129225224594</v>
      </c>
      <c r="C129" s="302">
        <v>3.7595690218988426E-2</v>
      </c>
      <c r="D129" s="302">
        <v>1.2799629888840414E-2</v>
      </c>
      <c r="E129" s="302">
        <f t="shared" ref="E129:E136" si="70">SUM(B129:D129)</f>
        <v>0.35896661236007477</v>
      </c>
      <c r="F129" s="303"/>
      <c r="G129" s="302">
        <v>0.33595492232543028</v>
      </c>
      <c r="H129" s="302">
        <v>1.7839228535932075E-2</v>
      </c>
      <c r="I129" s="302">
        <v>1.7772942599028785E-2</v>
      </c>
      <c r="J129" s="302">
        <f t="shared" ref="J129:J131" si="71">SUM(G129:I129)</f>
        <v>0.37156709346039113</v>
      </c>
      <c r="K129" s="303"/>
      <c r="L129" s="302">
        <v>0.41850804219050142</v>
      </c>
      <c r="M129" s="302">
        <v>1.6982814515616635E-2</v>
      </c>
      <c r="N129" s="302">
        <v>7.9956102674210942E-3</v>
      </c>
      <c r="O129" s="302">
        <f t="shared" ref="O129:O136" si="72">SUM(L129:N129)</f>
        <v>0.44348646697353911</v>
      </c>
    </row>
    <row r="130" spans="1:15" s="236" customFormat="1" x14ac:dyDescent="0.2">
      <c r="A130" s="237" t="str">
        <f>name!E$6</f>
        <v>Associate professional occupations</v>
      </c>
      <c r="B130" s="302">
        <v>0.38181672271818828</v>
      </c>
      <c r="C130" s="302">
        <v>5.4783395268765717E-2</v>
      </c>
      <c r="D130" s="302">
        <v>9.3128295099272687E-3</v>
      </c>
      <c r="E130" s="302">
        <f t="shared" si="70"/>
        <v>0.44591294749688126</v>
      </c>
      <c r="F130" s="303"/>
      <c r="G130" s="302">
        <v>0.36512809648429129</v>
      </c>
      <c r="H130" s="302">
        <v>2.5611889521468225E-2</v>
      </c>
      <c r="I130" s="302">
        <v>1.1502887880926916E-2</v>
      </c>
      <c r="J130" s="302">
        <f t="shared" si="71"/>
        <v>0.40224287388668639</v>
      </c>
      <c r="K130" s="303"/>
      <c r="L130" s="302">
        <v>0.37351920733235267</v>
      </c>
      <c r="M130" s="302">
        <v>2.1126286199397756E-2</v>
      </c>
      <c r="N130" s="302">
        <v>9.8377937274045941E-3</v>
      </c>
      <c r="O130" s="302">
        <f t="shared" si="72"/>
        <v>0.40448328725915506</v>
      </c>
    </row>
    <row r="131" spans="1:15" s="236" customFormat="1" x14ac:dyDescent="0.2">
      <c r="A131" s="237" t="str">
        <f>name!E$7</f>
        <v>Administrative and secretarial occupations</v>
      </c>
      <c r="B131" s="302">
        <v>0.27010843223924552</v>
      </c>
      <c r="C131" s="302">
        <v>0.38879799379629476</v>
      </c>
      <c r="D131" s="302">
        <v>3.7866350259951496E-3</v>
      </c>
      <c r="E131" s="302">
        <f t="shared" si="70"/>
        <v>0.66269306106153547</v>
      </c>
      <c r="F131" s="303"/>
      <c r="G131" s="302">
        <v>0.23443897975116668</v>
      </c>
      <c r="H131" s="302">
        <v>2.7887523345988093E-2</v>
      </c>
      <c r="I131" s="302">
        <v>1.6748362188777306E-2</v>
      </c>
      <c r="J131" s="302">
        <f t="shared" si="71"/>
        <v>0.27907486528593206</v>
      </c>
      <c r="K131" s="303"/>
      <c r="L131" s="302">
        <v>0.2075010336734498</v>
      </c>
      <c r="M131" s="302">
        <v>1.5409565474594327E-2</v>
      </c>
      <c r="N131" s="302">
        <v>1.7867836789914812E-2</v>
      </c>
      <c r="O131" s="302">
        <f t="shared" si="72"/>
        <v>0.24077843593795895</v>
      </c>
    </row>
    <row r="132" spans="1:15" s="236" customFormat="1" x14ac:dyDescent="0.2">
      <c r="A132" s="237" t="str">
        <f>name!E$8</f>
        <v>Skilled trades occupations</v>
      </c>
      <c r="B132" s="302">
        <v>1.7423565709372724</v>
      </c>
      <c r="C132" s="302">
        <v>0.20429590699280145</v>
      </c>
      <c r="D132" s="302">
        <v>0.39941596447956612</v>
      </c>
      <c r="E132" s="302">
        <f t="shared" si="70"/>
        <v>2.3460684424096399</v>
      </c>
      <c r="F132" s="303"/>
      <c r="G132" s="302">
        <v>1.0810484146524202</v>
      </c>
      <c r="H132" s="302">
        <v>5.3313296047729039E-2</v>
      </c>
      <c r="I132" s="302">
        <v>0.34354900530683757</v>
      </c>
      <c r="J132" s="302">
        <f>SUM(G132:I132)</f>
        <v>1.4779107160069866</v>
      </c>
      <c r="K132" s="303"/>
      <c r="L132" s="302">
        <v>1.0970375701142876</v>
      </c>
      <c r="M132" s="302">
        <v>7.5839786250979105E-2</v>
      </c>
      <c r="N132" s="302">
        <v>0.27395653417369958</v>
      </c>
      <c r="O132" s="302">
        <f t="shared" si="72"/>
        <v>1.4468338905389664</v>
      </c>
    </row>
    <row r="133" spans="1:15" s="236" customFormat="1" x14ac:dyDescent="0.2">
      <c r="A133" s="237" t="str">
        <f>name!E$9</f>
        <v>Caring, leisure and other service occupations</v>
      </c>
      <c r="B133" s="302">
        <v>4.7483227094087137E-2</v>
      </c>
      <c r="C133" s="302">
        <v>2.7965249519377684E-2</v>
      </c>
      <c r="D133" s="302">
        <v>3.9266740291322842E-2</v>
      </c>
      <c r="E133" s="302">
        <f t="shared" si="70"/>
        <v>0.11471521690478767</v>
      </c>
      <c r="F133" s="303"/>
      <c r="G133" s="302">
        <v>3.8948335347133684E-2</v>
      </c>
      <c r="H133" s="302">
        <v>3.6461497386588132E-2</v>
      </c>
      <c r="I133" s="302">
        <v>5.0664934314286397E-2</v>
      </c>
      <c r="J133" s="302">
        <f t="shared" ref="J133:J136" si="73">SUM(G133:I133)</f>
        <v>0.12607476704800821</v>
      </c>
      <c r="K133" s="303"/>
      <c r="L133" s="302">
        <v>4.0009140904114247E-2</v>
      </c>
      <c r="M133" s="302">
        <v>4.6163420452865686E-2</v>
      </c>
      <c r="N133" s="302">
        <v>7.1134583426017514E-2</v>
      </c>
      <c r="O133" s="302">
        <f t="shared" si="72"/>
        <v>0.15730714478299745</v>
      </c>
    </row>
    <row r="134" spans="1:15" s="236" customFormat="1" x14ac:dyDescent="0.2">
      <c r="A134" s="237" t="str">
        <f>name!E$10</f>
        <v>Sales and customer service occupations</v>
      </c>
      <c r="B134" s="302">
        <v>0.115226970800462</v>
      </c>
      <c r="C134" s="302">
        <v>8.0252268419546566E-2</v>
      </c>
      <c r="D134" s="302">
        <v>8.7550551038055764E-3</v>
      </c>
      <c r="E134" s="302">
        <f t="shared" si="70"/>
        <v>0.20423429432381415</v>
      </c>
      <c r="F134" s="303"/>
      <c r="G134" s="302">
        <v>8.8256982617111068E-2</v>
      </c>
      <c r="H134" s="302">
        <v>1.6906827023011581E-2</v>
      </c>
      <c r="I134" s="302">
        <v>9.2725275411336249E-3</v>
      </c>
      <c r="J134" s="302">
        <f t="shared" si="73"/>
        <v>0.11443633718125627</v>
      </c>
      <c r="K134" s="303"/>
      <c r="L134" s="302">
        <v>9.2597738862447904E-2</v>
      </c>
      <c r="M134" s="302">
        <v>1.5593576399427257E-2</v>
      </c>
      <c r="N134" s="302">
        <v>7.3190380766320262E-3</v>
      </c>
      <c r="O134" s="302">
        <f t="shared" si="72"/>
        <v>0.11551035333850718</v>
      </c>
    </row>
    <row r="135" spans="1:15" s="236" customFormat="1" x14ac:dyDescent="0.2">
      <c r="A135" s="237" t="str">
        <f>name!E$11</f>
        <v>Process, plant and machine operatives</v>
      </c>
      <c r="B135" s="302">
        <v>0.85875850084343963</v>
      </c>
      <c r="C135" s="302">
        <v>0.18366738239774708</v>
      </c>
      <c r="D135" s="302">
        <v>6.7333805908635663E-2</v>
      </c>
      <c r="E135" s="302">
        <f t="shared" si="70"/>
        <v>1.1097596891498225</v>
      </c>
      <c r="F135" s="303"/>
      <c r="G135" s="302">
        <v>0.5462904498980633</v>
      </c>
      <c r="H135" s="302">
        <v>6.8605728850667166E-2</v>
      </c>
      <c r="I135" s="302">
        <v>9.4687423327761117E-2</v>
      </c>
      <c r="J135" s="302">
        <f t="shared" si="73"/>
        <v>0.70958360207649163</v>
      </c>
      <c r="K135" s="303"/>
      <c r="L135" s="302">
        <v>0.56589421111970228</v>
      </c>
      <c r="M135" s="302">
        <v>8.1852102929886511E-2</v>
      </c>
      <c r="N135" s="302">
        <v>0.10674090207258814</v>
      </c>
      <c r="O135" s="302">
        <f t="shared" si="72"/>
        <v>0.75448721612217695</v>
      </c>
    </row>
    <row r="136" spans="1:15" s="236" customFormat="1" x14ac:dyDescent="0.2">
      <c r="A136" s="237" t="str">
        <f>name!E$12</f>
        <v>Elementary occupations</v>
      </c>
      <c r="B136" s="302">
        <v>0.21044986368800914</v>
      </c>
      <c r="C136" s="302">
        <v>9.9723020774908411E-2</v>
      </c>
      <c r="D136" s="302">
        <v>0.3894465780806583</v>
      </c>
      <c r="E136" s="302">
        <f t="shared" si="70"/>
        <v>0.69961946254357588</v>
      </c>
      <c r="F136" s="303"/>
      <c r="G136" s="302">
        <v>0.13118466736523887</v>
      </c>
      <c r="H136" s="302">
        <v>3.9345309962497542E-2</v>
      </c>
      <c r="I136" s="302">
        <v>0.38152762814272934</v>
      </c>
      <c r="J136" s="302">
        <f t="shared" si="73"/>
        <v>0.55205760547046578</v>
      </c>
      <c r="K136" s="303"/>
      <c r="L136" s="302">
        <v>8.6000820355369517E-2</v>
      </c>
      <c r="M136" s="302">
        <v>3.110075718070333E-2</v>
      </c>
      <c r="N136" s="302">
        <v>0.37744218027716592</v>
      </c>
      <c r="O136" s="302">
        <f t="shared" si="72"/>
        <v>0.49454375781323878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32</v>
      </c>
      <c r="B138" s="311">
        <f>SUM(B128:B136)</f>
        <v>4.3420000000072463</v>
      </c>
      <c r="C138" s="311">
        <f t="shared" ref="C138:E138" si="74">SUM(C128:C136)</f>
        <v>1.1330000000006786</v>
      </c>
      <c r="D138" s="311">
        <f t="shared" si="74"/>
        <v>0.94899999999164075</v>
      </c>
      <c r="E138" s="311">
        <f t="shared" si="74"/>
        <v>6.4239999999995652</v>
      </c>
      <c r="F138" s="311"/>
      <c r="G138" s="311">
        <f t="shared" ref="G138:J138" si="75">SUM(G128:G136)</f>
        <v>3.2030000000176386</v>
      </c>
      <c r="H138" s="311">
        <f t="shared" si="75"/>
        <v>0.3310000000024042</v>
      </c>
      <c r="I138" s="311">
        <f t="shared" si="75"/>
        <v>0.94799999999008233</v>
      </c>
      <c r="J138" s="311">
        <f t="shared" si="75"/>
        <v>4.4820000000101246</v>
      </c>
      <c r="K138" s="311"/>
      <c r="L138" s="311">
        <f t="shared" ref="L138:O138" si="76">SUM(L128:L136)</f>
        <v>3.2910000000548756</v>
      </c>
      <c r="M138" s="311">
        <f t="shared" si="76"/>
        <v>0.36300000000101146</v>
      </c>
      <c r="N138" s="311">
        <f t="shared" si="76"/>
        <v>0.89199999998115087</v>
      </c>
      <c r="O138" s="311">
        <f t="shared" si="76"/>
        <v>4.5460000000370391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name!A11</f>
        <v>Paper, etc</v>
      </c>
      <c r="B142" s="374">
        <f>$B$6</f>
        <v>2015</v>
      </c>
      <c r="C142" s="374"/>
      <c r="D142" s="374"/>
      <c r="E142" s="374"/>
      <c r="F142" s="263"/>
      <c r="G142" s="374">
        <f>$G$6</f>
        <v>2020</v>
      </c>
      <c r="H142" s="374"/>
      <c r="I142" s="374"/>
      <c r="J142" s="374"/>
      <c r="K142" s="263"/>
      <c r="L142" s="374">
        <f>$L$6</f>
        <v>2035</v>
      </c>
      <c r="M142" s="374"/>
      <c r="N142" s="374"/>
      <c r="O142" s="374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0.46550074038568567</v>
      </c>
      <c r="C145" s="302">
        <v>2.643448417326557E-2</v>
      </c>
      <c r="D145" s="302">
        <v>0.21186017520376035</v>
      </c>
      <c r="E145" s="302">
        <f>SUM(B145:D145)</f>
        <v>0.70379539976271155</v>
      </c>
      <c r="F145" s="303"/>
      <c r="G145" s="302">
        <v>0.56458515270234111</v>
      </c>
      <c r="H145" s="302">
        <v>5.7597356426370306E-3</v>
      </c>
      <c r="I145" s="302">
        <v>4.5794524435794154E-2</v>
      </c>
      <c r="J145" s="302">
        <f>SUM(G145:I145)</f>
        <v>0.61613941278077222</v>
      </c>
      <c r="K145" s="303"/>
      <c r="L145" s="302">
        <v>0.64793847274381322</v>
      </c>
      <c r="M145" s="302">
        <v>8.6465659224433146E-3</v>
      </c>
      <c r="N145" s="302">
        <v>5.4237441873536366E-2</v>
      </c>
      <c r="O145" s="302">
        <f>SUM(L145:N145)</f>
        <v>0.71082248053979291</v>
      </c>
    </row>
    <row r="146" spans="1:15" s="236" customFormat="1" x14ac:dyDescent="0.2">
      <c r="A146" s="237" t="str">
        <f>name!E$5</f>
        <v>Professional occupations</v>
      </c>
      <c r="B146" s="302">
        <v>0.33467509688002806</v>
      </c>
      <c r="C146" s="302">
        <v>2.2939873983582996E-2</v>
      </c>
      <c r="D146" s="302">
        <v>7.9147596603507259E-2</v>
      </c>
      <c r="E146" s="302">
        <f t="shared" ref="E146:E153" si="77">SUM(B146:D146)</f>
        <v>0.43676256746711828</v>
      </c>
      <c r="F146" s="303"/>
      <c r="G146" s="302">
        <v>0.45509175188663081</v>
      </c>
      <c r="H146" s="302">
        <v>4.9475476771088838E-3</v>
      </c>
      <c r="I146" s="302">
        <v>2.5638645726595213E-2</v>
      </c>
      <c r="J146" s="302">
        <f t="shared" ref="J146:J148" si="78">SUM(G146:I146)</f>
        <v>0.48567794529033487</v>
      </c>
      <c r="K146" s="303"/>
      <c r="L146" s="302">
        <v>0.5889535353070765</v>
      </c>
      <c r="M146" s="302">
        <v>6.9287006859404237E-3</v>
      </c>
      <c r="N146" s="302">
        <v>2.6224592366234263E-2</v>
      </c>
      <c r="O146" s="302">
        <f t="shared" ref="O146:O153" si="79">SUM(L146:N146)</f>
        <v>0.62210682835925124</v>
      </c>
    </row>
    <row r="147" spans="1:15" s="236" customFormat="1" x14ac:dyDescent="0.2">
      <c r="A147" s="237" t="str">
        <f>name!E$6</f>
        <v>Associate professional occupations</v>
      </c>
      <c r="B147" s="302">
        <v>0.31885482777234436</v>
      </c>
      <c r="C147" s="302">
        <v>5.920525652226339E-2</v>
      </c>
      <c r="D147" s="302">
        <v>0.128161344318444</v>
      </c>
      <c r="E147" s="302">
        <f t="shared" si="77"/>
        <v>0.50622142861305175</v>
      </c>
      <c r="F147" s="303"/>
      <c r="G147" s="302">
        <v>0.41302518765080826</v>
      </c>
      <c r="H147" s="302">
        <v>1.0727061024685486E-2</v>
      </c>
      <c r="I147" s="302">
        <v>6.6637844212058012E-2</v>
      </c>
      <c r="J147" s="302">
        <f t="shared" si="78"/>
        <v>0.49039009288755175</v>
      </c>
      <c r="K147" s="303"/>
      <c r="L147" s="302">
        <v>0.41712614316819757</v>
      </c>
      <c r="M147" s="302">
        <v>9.2851865525906026E-3</v>
      </c>
      <c r="N147" s="302">
        <v>7.9602979155286857E-2</v>
      </c>
      <c r="O147" s="302">
        <f t="shared" si="79"/>
        <v>0.50601430887607501</v>
      </c>
    </row>
    <row r="148" spans="1:15" s="236" customFormat="1" x14ac:dyDescent="0.2">
      <c r="A148" s="237" t="str">
        <f>name!E$7</f>
        <v>Administrative and secretarial occupations</v>
      </c>
      <c r="B148" s="302">
        <v>0.19976928368201796</v>
      </c>
      <c r="C148" s="302">
        <v>6.8395795767177248E-2</v>
      </c>
      <c r="D148" s="302">
        <v>2.7421956406960057E-2</v>
      </c>
      <c r="E148" s="302">
        <f t="shared" si="77"/>
        <v>0.29558703585615526</v>
      </c>
      <c r="F148" s="303"/>
      <c r="G148" s="302">
        <v>0.23527587910120185</v>
      </c>
      <c r="H148" s="302">
        <v>9.0360893973711661E-3</v>
      </c>
      <c r="I148" s="302">
        <v>1.0915382368402888E-2</v>
      </c>
      <c r="J148" s="302">
        <f t="shared" si="78"/>
        <v>0.2552273508669759</v>
      </c>
      <c r="K148" s="303"/>
      <c r="L148" s="302">
        <v>0.25358417394539201</v>
      </c>
      <c r="M148" s="302">
        <v>8.428815558077743E-3</v>
      </c>
      <c r="N148" s="302">
        <v>9.2135135036773494E-3</v>
      </c>
      <c r="O148" s="302">
        <f t="shared" si="79"/>
        <v>0.27122650300714707</v>
      </c>
    </row>
    <row r="149" spans="1:15" s="236" customFormat="1" x14ac:dyDescent="0.2">
      <c r="A149" s="237" t="str">
        <f>name!E$8</f>
        <v>Skilled trades occupations</v>
      </c>
      <c r="B149" s="302">
        <v>0.93518815611869321</v>
      </c>
      <c r="C149" s="302">
        <v>4.3191478561322189E-2</v>
      </c>
      <c r="D149" s="302">
        <v>0.21278632381096049</v>
      </c>
      <c r="E149" s="302">
        <f t="shared" si="77"/>
        <v>1.191165958490976</v>
      </c>
      <c r="F149" s="303"/>
      <c r="G149" s="302">
        <v>0.76439142557268658</v>
      </c>
      <c r="H149" s="302">
        <v>5.1810130935779266E-3</v>
      </c>
      <c r="I149" s="302">
        <v>2.9147842017177832E-2</v>
      </c>
      <c r="J149" s="302">
        <f>SUM(G149:I149)</f>
        <v>0.79872028068344225</v>
      </c>
      <c r="K149" s="303"/>
      <c r="L149" s="302">
        <v>0.6717509015743599</v>
      </c>
      <c r="M149" s="302">
        <v>7.0905208802696787E-3</v>
      </c>
      <c r="N149" s="302">
        <v>3.5043179816103387E-2</v>
      </c>
      <c r="O149" s="302">
        <f t="shared" si="79"/>
        <v>0.71388460227073292</v>
      </c>
    </row>
    <row r="150" spans="1:15" s="236" customFormat="1" x14ac:dyDescent="0.2">
      <c r="A150" s="237" t="str">
        <f>name!E$9</f>
        <v>Caring, leisure and other service occupations</v>
      </c>
      <c r="B150" s="302">
        <v>2.1499952531270367E-2</v>
      </c>
      <c r="C150" s="302">
        <v>7.2334979036189125E-3</v>
      </c>
      <c r="D150" s="302">
        <v>4.0289800325309022E-3</v>
      </c>
      <c r="E150" s="302">
        <f t="shared" si="77"/>
        <v>3.2762430467420181E-2</v>
      </c>
      <c r="F150" s="303"/>
      <c r="G150" s="302">
        <v>2.519892339505499E-2</v>
      </c>
      <c r="H150" s="302">
        <v>8.4267410118809931E-4</v>
      </c>
      <c r="I150" s="302">
        <v>1.447260010486561E-2</v>
      </c>
      <c r="J150" s="302">
        <f t="shared" ref="J150:J153" si="80">SUM(G150:I150)</f>
        <v>4.0514197601108699E-2</v>
      </c>
      <c r="K150" s="303"/>
      <c r="L150" s="302">
        <v>2.8251628702695986E-2</v>
      </c>
      <c r="M150" s="302">
        <v>8.9760993091043419E-4</v>
      </c>
      <c r="N150" s="302">
        <v>1.2925029168244267E-2</v>
      </c>
      <c r="O150" s="302">
        <f t="shared" si="79"/>
        <v>4.2074267801850682E-2</v>
      </c>
    </row>
    <row r="151" spans="1:15" s="236" customFormat="1" x14ac:dyDescent="0.2">
      <c r="A151" s="237" t="str">
        <f>name!E$10</f>
        <v>Sales and customer service occupations</v>
      </c>
      <c r="B151" s="302">
        <v>7.6299776972744177E-2</v>
      </c>
      <c r="C151" s="302">
        <v>3.6618520000861264E-2</v>
      </c>
      <c r="D151" s="302">
        <v>4.2231668717532894E-2</v>
      </c>
      <c r="E151" s="302">
        <f t="shared" si="77"/>
        <v>0.15514996569113834</v>
      </c>
      <c r="F151" s="303"/>
      <c r="G151" s="302">
        <v>8.3079215947519769E-2</v>
      </c>
      <c r="H151" s="302">
        <v>5.0369210645273997E-3</v>
      </c>
      <c r="I151" s="302">
        <v>8.9056564983744646E-3</v>
      </c>
      <c r="J151" s="302">
        <f t="shared" si="80"/>
        <v>9.7021793510421631E-2</v>
      </c>
      <c r="K151" s="303"/>
      <c r="L151" s="302">
        <v>0.1067449401194136</v>
      </c>
      <c r="M151" s="302">
        <v>6.4785359570292524E-3</v>
      </c>
      <c r="N151" s="302">
        <v>1.0247324753745398E-2</v>
      </c>
      <c r="O151" s="302">
        <f t="shared" si="79"/>
        <v>0.12347080083018826</v>
      </c>
    </row>
    <row r="152" spans="1:15" s="236" customFormat="1" x14ac:dyDescent="0.2">
      <c r="A152" s="237" t="str">
        <f>name!E$11</f>
        <v>Process, plant and machine operatives</v>
      </c>
      <c r="B152" s="302">
        <v>0.93607462251979334</v>
      </c>
      <c r="C152" s="302">
        <v>4.5355165139715985E-2</v>
      </c>
      <c r="D152" s="302">
        <v>1.8323965253373344E-2</v>
      </c>
      <c r="E152" s="302">
        <f t="shared" si="77"/>
        <v>0.9997537529128826</v>
      </c>
      <c r="F152" s="303"/>
      <c r="G152" s="302">
        <v>0.76216397628399113</v>
      </c>
      <c r="H152" s="302">
        <v>7.8184160747760308E-3</v>
      </c>
      <c r="I152" s="302">
        <v>1.3306156153196493E-2</v>
      </c>
      <c r="J152" s="302">
        <f t="shared" si="80"/>
        <v>0.78328854851196372</v>
      </c>
      <c r="K152" s="303"/>
      <c r="L152" s="302">
        <v>0.73093917403166508</v>
      </c>
      <c r="M152" s="302">
        <v>1.1151306147786335E-2</v>
      </c>
      <c r="N152" s="302">
        <v>2.9793569174212258E-2</v>
      </c>
      <c r="O152" s="302">
        <f t="shared" si="79"/>
        <v>0.77188404935366373</v>
      </c>
    </row>
    <row r="153" spans="1:15" s="236" customFormat="1" x14ac:dyDescent="0.2">
      <c r="A153" s="237" t="str">
        <f>name!E$12</f>
        <v>Elementary occupations</v>
      </c>
      <c r="B153" s="302">
        <v>0.40113754313834815</v>
      </c>
      <c r="C153" s="302">
        <v>0.13962592795086876</v>
      </c>
      <c r="D153" s="302">
        <v>2.9037989663431553E-2</v>
      </c>
      <c r="E153" s="302">
        <f t="shared" si="77"/>
        <v>0.56980146075264837</v>
      </c>
      <c r="F153" s="303"/>
      <c r="G153" s="302">
        <v>0.33618848747776475</v>
      </c>
      <c r="H153" s="302">
        <v>1.9650541924663943E-2</v>
      </c>
      <c r="I153" s="302">
        <v>3.318134848242759E-2</v>
      </c>
      <c r="J153" s="302">
        <f t="shared" si="80"/>
        <v>0.38902037788485627</v>
      </c>
      <c r="K153" s="303"/>
      <c r="L153" s="302">
        <v>0.26071103044583455</v>
      </c>
      <c r="M153" s="302">
        <v>1.8092758365380254E-2</v>
      </c>
      <c r="N153" s="302">
        <v>3.9712370192222624E-2</v>
      </c>
      <c r="O153" s="302">
        <f t="shared" si="79"/>
        <v>0.31851615900343744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32</v>
      </c>
      <c r="B155" s="311">
        <f>SUM(B145:B153)</f>
        <v>3.6890000000009247</v>
      </c>
      <c r="C155" s="311">
        <f t="shared" ref="C155:E155" si="81">SUM(C145:C153)</f>
        <v>0.44900000000267631</v>
      </c>
      <c r="D155" s="311">
        <f t="shared" si="81"/>
        <v>0.75300000001050083</v>
      </c>
      <c r="E155" s="311">
        <f t="shared" si="81"/>
        <v>4.8910000000141025</v>
      </c>
      <c r="F155" s="311"/>
      <c r="G155" s="311">
        <f t="shared" ref="G155:J155" si="82">SUM(G145:G153)</f>
        <v>3.6390000000179996</v>
      </c>
      <c r="H155" s="311">
        <f t="shared" si="82"/>
        <v>6.9000000000535966E-2</v>
      </c>
      <c r="I155" s="311">
        <f t="shared" si="82"/>
        <v>0.24799999999889227</v>
      </c>
      <c r="J155" s="311">
        <f t="shared" si="82"/>
        <v>3.9560000000174269</v>
      </c>
      <c r="K155" s="311"/>
      <c r="L155" s="311">
        <f t="shared" ref="L155:O155" si="83">SUM(L145:L153)</f>
        <v>3.7060000000384483</v>
      </c>
      <c r="M155" s="311">
        <f t="shared" si="83"/>
        <v>7.7000000000428045E-2</v>
      </c>
      <c r="N155" s="311">
        <f t="shared" si="83"/>
        <v>0.29700000000326277</v>
      </c>
      <c r="O155" s="311">
        <f t="shared" si="83"/>
        <v>4.0800000000421397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name!A12</f>
        <v>Printing and recording</v>
      </c>
      <c r="B159" s="374">
        <f>$B$6</f>
        <v>2015</v>
      </c>
      <c r="C159" s="374"/>
      <c r="D159" s="374"/>
      <c r="E159" s="374"/>
      <c r="F159" s="263"/>
      <c r="G159" s="374">
        <f>$G$6</f>
        <v>2020</v>
      </c>
      <c r="H159" s="374"/>
      <c r="I159" s="374"/>
      <c r="J159" s="374"/>
      <c r="K159" s="263"/>
      <c r="L159" s="374">
        <f>$L$6</f>
        <v>2035</v>
      </c>
      <c r="M159" s="374"/>
      <c r="N159" s="374"/>
      <c r="O159" s="374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1.3159282697188375</v>
      </c>
      <c r="C162" s="302">
        <v>3.5622614354784456E-2</v>
      </c>
      <c r="D162" s="302">
        <v>0.26141836287610215</v>
      </c>
      <c r="E162" s="302">
        <f>SUM(B162:D162)</f>
        <v>1.6129692469497241</v>
      </c>
      <c r="F162" s="303"/>
      <c r="G162" s="302">
        <v>1.6016452039607298</v>
      </c>
      <c r="H162" s="302">
        <v>6.8493226551532393E-2</v>
      </c>
      <c r="I162" s="302">
        <v>0.21425167894046451</v>
      </c>
      <c r="J162" s="302">
        <f>SUM(G162:I162)</f>
        <v>1.8843901094527267</v>
      </c>
      <c r="K162" s="303"/>
      <c r="L162" s="302">
        <v>1.2653289018914642</v>
      </c>
      <c r="M162" s="302">
        <v>7.0728045901760656E-2</v>
      </c>
      <c r="N162" s="302">
        <v>0.17969850036129953</v>
      </c>
      <c r="O162" s="302">
        <f>SUM(L162:N162)</f>
        <v>1.5157554481545246</v>
      </c>
    </row>
    <row r="163" spans="1:15" s="236" customFormat="1" x14ac:dyDescent="0.2">
      <c r="A163" s="237" t="str">
        <f>name!E$5</f>
        <v>Professional occupations</v>
      </c>
      <c r="B163" s="302">
        <v>0.90654261665757641</v>
      </c>
      <c r="C163" s="302">
        <v>5.7364063498808807E-2</v>
      </c>
      <c r="D163" s="302">
        <v>0.11614543828448667</v>
      </c>
      <c r="E163" s="302">
        <f t="shared" ref="E163:E170" si="84">SUM(B163:D163)</f>
        <v>1.080052118440872</v>
      </c>
      <c r="F163" s="303"/>
      <c r="G163" s="302">
        <v>1.2614762478931365</v>
      </c>
      <c r="H163" s="302">
        <v>8.788220362944478E-2</v>
      </c>
      <c r="I163" s="302">
        <v>0.14805372109194798</v>
      </c>
      <c r="J163" s="302">
        <f t="shared" ref="J163:J165" si="85">SUM(G163:I163)</f>
        <v>1.4974121726145293</v>
      </c>
      <c r="K163" s="303"/>
      <c r="L163" s="302">
        <v>1.1094430714749652</v>
      </c>
      <c r="M163" s="302">
        <v>8.5351490885234152E-2</v>
      </c>
      <c r="N163" s="302">
        <v>9.6018762837743535E-2</v>
      </c>
      <c r="O163" s="302">
        <f t="shared" ref="O163:O170" si="86">SUM(L163:N163)</f>
        <v>1.290813325197943</v>
      </c>
    </row>
    <row r="164" spans="1:15" s="236" customFormat="1" x14ac:dyDescent="0.2">
      <c r="A164" s="237" t="str">
        <f>name!E$6</f>
        <v>Associate professional occupations</v>
      </c>
      <c r="B164" s="302">
        <v>0.9877139165336607</v>
      </c>
      <c r="C164" s="302">
        <v>0.13933744910367374</v>
      </c>
      <c r="D164" s="302">
        <v>0.25001554571500789</v>
      </c>
      <c r="E164" s="302">
        <f t="shared" si="84"/>
        <v>1.3770669113523424</v>
      </c>
      <c r="F164" s="303"/>
      <c r="G164" s="302">
        <v>1.2870431595321128</v>
      </c>
      <c r="H164" s="302">
        <v>0.18120219368059731</v>
      </c>
      <c r="I164" s="302">
        <v>0.513033563444523</v>
      </c>
      <c r="J164" s="302">
        <f t="shared" si="85"/>
        <v>1.9812789166572333</v>
      </c>
      <c r="K164" s="303"/>
      <c r="L164" s="302">
        <v>0.95931791997769533</v>
      </c>
      <c r="M164" s="302">
        <v>0.14931994472032301</v>
      </c>
      <c r="N164" s="302">
        <v>0.41222732527637751</v>
      </c>
      <c r="O164" s="302">
        <f t="shared" si="86"/>
        <v>1.5208651899743959</v>
      </c>
    </row>
    <row r="165" spans="1:15" s="236" customFormat="1" x14ac:dyDescent="0.2">
      <c r="A165" s="237" t="str">
        <f>name!E$7</f>
        <v>Administrative and secretarial occupations</v>
      </c>
      <c r="B165" s="302">
        <v>0.53558666042915726</v>
      </c>
      <c r="C165" s="302">
        <v>0.17525981368636939</v>
      </c>
      <c r="D165" s="302">
        <v>4.010697408522744E-2</v>
      </c>
      <c r="E165" s="302">
        <f t="shared" si="84"/>
        <v>0.75095344820075416</v>
      </c>
      <c r="F165" s="303"/>
      <c r="G165" s="302">
        <v>0.61024695037004151</v>
      </c>
      <c r="H165" s="302">
        <v>0.18420336253734768</v>
      </c>
      <c r="I165" s="302">
        <v>3.9217269604720099E-2</v>
      </c>
      <c r="J165" s="302">
        <f t="shared" si="85"/>
        <v>0.83366758251210926</v>
      </c>
      <c r="K165" s="303"/>
      <c r="L165" s="302">
        <v>0.39831137368468877</v>
      </c>
      <c r="M165" s="302">
        <v>0.12139425097141202</v>
      </c>
      <c r="N165" s="302">
        <v>1.4876304588419596E-2</v>
      </c>
      <c r="O165" s="302">
        <f t="shared" si="86"/>
        <v>0.53458192924452042</v>
      </c>
    </row>
    <row r="166" spans="1:15" s="236" customFormat="1" x14ac:dyDescent="0.2">
      <c r="A166" s="237" t="str">
        <f>name!E$8</f>
        <v>Skilled trades occupations</v>
      </c>
      <c r="B166" s="302">
        <v>1.7551225456978186</v>
      </c>
      <c r="C166" s="302">
        <v>3.1892181855060063E-2</v>
      </c>
      <c r="D166" s="302">
        <v>0.24515300036506452</v>
      </c>
      <c r="E166" s="302">
        <f t="shared" si="84"/>
        <v>2.0321677279179431</v>
      </c>
      <c r="F166" s="303"/>
      <c r="G166" s="302">
        <v>1.423325369052352</v>
      </c>
      <c r="H166" s="302">
        <v>4.0600454279527382E-2</v>
      </c>
      <c r="I166" s="302">
        <v>0.1674339485644657</v>
      </c>
      <c r="J166" s="302">
        <f>SUM(G166:I166)</f>
        <v>1.6313597718963448</v>
      </c>
      <c r="K166" s="303"/>
      <c r="L166" s="302">
        <v>0.80562652463176865</v>
      </c>
      <c r="M166" s="302">
        <v>4.0302374275874867E-2</v>
      </c>
      <c r="N166" s="302">
        <v>0.1624100759008901</v>
      </c>
      <c r="O166" s="302">
        <f t="shared" si="86"/>
        <v>1.0083389748085336</v>
      </c>
    </row>
    <row r="167" spans="1:15" s="236" customFormat="1" x14ac:dyDescent="0.2">
      <c r="A167" s="237" t="str">
        <f>name!E$9</f>
        <v>Caring, leisure and other service occupations</v>
      </c>
      <c r="B167" s="302">
        <v>2.1348943206519276E-2</v>
      </c>
      <c r="C167" s="302">
        <v>7.9514701448698075E-3</v>
      </c>
      <c r="D167" s="302">
        <v>4.3393665118683878E-3</v>
      </c>
      <c r="E167" s="302">
        <f t="shared" si="84"/>
        <v>3.3639779863257467E-2</v>
      </c>
      <c r="F167" s="303"/>
      <c r="G167" s="302">
        <v>2.4243625473237208E-2</v>
      </c>
      <c r="H167" s="302">
        <v>8.9832658578732887E-3</v>
      </c>
      <c r="I167" s="302">
        <v>1.0795803705816823E-2</v>
      </c>
      <c r="J167" s="302">
        <f t="shared" ref="J167:J170" si="87">SUM(G167:I167)</f>
        <v>4.4022695036927316E-2</v>
      </c>
      <c r="K167" s="303"/>
      <c r="L167" s="302">
        <v>1.9660286687752056E-2</v>
      </c>
      <c r="M167" s="302">
        <v>5.8319554864074644E-3</v>
      </c>
      <c r="N167" s="302">
        <v>7.8103293476517923E-3</v>
      </c>
      <c r="O167" s="302">
        <f t="shared" si="86"/>
        <v>3.3302571521811312E-2</v>
      </c>
    </row>
    <row r="168" spans="1:15" s="236" customFormat="1" x14ac:dyDescent="0.2">
      <c r="A168" s="237" t="str">
        <f>name!E$10</f>
        <v>Sales and customer service occupations</v>
      </c>
      <c r="B168" s="302">
        <v>0.34001579524193754</v>
      </c>
      <c r="C168" s="302">
        <v>5.5079102375201881E-2</v>
      </c>
      <c r="D168" s="302">
        <v>5.7843453613636776E-2</v>
      </c>
      <c r="E168" s="302">
        <f t="shared" si="84"/>
        <v>0.45293835123077619</v>
      </c>
      <c r="F168" s="303"/>
      <c r="G168" s="302">
        <v>0.35424515379700694</v>
      </c>
      <c r="H168" s="302">
        <v>6.4278605904446187E-2</v>
      </c>
      <c r="I168" s="302">
        <v>3.6624169825371831E-2</v>
      </c>
      <c r="J168" s="302">
        <f t="shared" si="87"/>
        <v>0.45514792952682492</v>
      </c>
      <c r="K168" s="303"/>
      <c r="L168" s="302">
        <v>0.28555890711805115</v>
      </c>
      <c r="M168" s="302">
        <v>5.4831148383624635E-2</v>
      </c>
      <c r="N168" s="302">
        <v>2.1514673793740662E-2</v>
      </c>
      <c r="O168" s="302">
        <f t="shared" si="86"/>
        <v>0.36190472929541645</v>
      </c>
    </row>
    <row r="169" spans="1:15" s="236" customFormat="1" x14ac:dyDescent="0.2">
      <c r="A169" s="237" t="str">
        <f>name!E$11</f>
        <v>Process, plant and machine operatives</v>
      </c>
      <c r="B169" s="302">
        <v>0.33156549041091887</v>
      </c>
      <c r="C169" s="302">
        <v>3.0538483760812418E-2</v>
      </c>
      <c r="D169" s="302">
        <v>1.5758958141698712E-2</v>
      </c>
      <c r="E169" s="302">
        <f t="shared" si="84"/>
        <v>0.37786293231342999</v>
      </c>
      <c r="F169" s="303"/>
      <c r="G169" s="302">
        <v>0.2911608897300843</v>
      </c>
      <c r="H169" s="302">
        <v>5.6611859328819944E-2</v>
      </c>
      <c r="I169" s="302">
        <v>1.4079505829980157E-2</v>
      </c>
      <c r="J169" s="302">
        <f t="shared" si="87"/>
        <v>0.36185225488888439</v>
      </c>
      <c r="K169" s="303"/>
      <c r="L169" s="302">
        <v>0.20199160296715643</v>
      </c>
      <c r="M169" s="302">
        <v>5.3788736826175222E-2</v>
      </c>
      <c r="N169" s="302">
        <v>1.0856601053092094E-2</v>
      </c>
      <c r="O169" s="302">
        <f t="shared" si="86"/>
        <v>0.26663694084642375</v>
      </c>
    </row>
    <row r="170" spans="1:15" s="236" customFormat="1" x14ac:dyDescent="0.2">
      <c r="A170" s="237" t="str">
        <f>name!E$12</f>
        <v>Elementary occupations</v>
      </c>
      <c r="B170" s="302">
        <v>0.59217576209019329</v>
      </c>
      <c r="C170" s="302">
        <v>0.15195482122032661</v>
      </c>
      <c r="D170" s="302">
        <v>1.3218900426065662E-2</v>
      </c>
      <c r="E170" s="302">
        <f t="shared" si="84"/>
        <v>0.7573494837365855</v>
      </c>
      <c r="F170" s="303"/>
      <c r="G170" s="302">
        <v>0.50961340016863532</v>
      </c>
      <c r="H170" s="302">
        <v>0.1857448282360262</v>
      </c>
      <c r="I170" s="302">
        <v>8.5103389734050381E-3</v>
      </c>
      <c r="J170" s="302">
        <f t="shared" si="87"/>
        <v>0.70386856737806658</v>
      </c>
      <c r="K170" s="303"/>
      <c r="L170" s="302">
        <v>0.28276141159278601</v>
      </c>
      <c r="M170" s="302">
        <v>0.10945205255016109</v>
      </c>
      <c r="N170" s="302">
        <v>4.5874268573687406E-3</v>
      </c>
      <c r="O170" s="302">
        <f t="shared" si="86"/>
        <v>0.39680089100031585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32</v>
      </c>
      <c r="B172" s="311">
        <f>SUM(B162:B170)</f>
        <v>6.7859999999866201</v>
      </c>
      <c r="C172" s="311">
        <f t="shared" ref="C172:E172" si="88">SUM(C162:C170)</f>
        <v>0.68499999999990702</v>
      </c>
      <c r="D172" s="311">
        <f t="shared" si="88"/>
        <v>1.0040000000191582</v>
      </c>
      <c r="E172" s="311">
        <f t="shared" si="88"/>
        <v>8.4750000000056858</v>
      </c>
      <c r="F172" s="311"/>
      <c r="G172" s="311">
        <f t="shared" ref="G172:J172" si="89">SUM(G162:G170)</f>
        <v>7.362999999977335</v>
      </c>
      <c r="H172" s="311">
        <f t="shared" si="89"/>
        <v>0.87800000000561518</v>
      </c>
      <c r="I172" s="311">
        <f t="shared" si="89"/>
        <v>1.1519999999806951</v>
      </c>
      <c r="J172" s="311">
        <f t="shared" si="89"/>
        <v>9.3929999999636458</v>
      </c>
      <c r="K172" s="311"/>
      <c r="L172" s="311">
        <f t="shared" ref="L172:O172" si="90">SUM(L162:L170)</f>
        <v>5.3280000000263277</v>
      </c>
      <c r="M172" s="311">
        <f t="shared" si="90"/>
        <v>0.69100000000097317</v>
      </c>
      <c r="N172" s="311">
        <f t="shared" si="90"/>
        <v>0.91000000001658343</v>
      </c>
      <c r="O172" s="311">
        <f t="shared" si="90"/>
        <v>6.9290000000438852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name!A13</f>
        <v>Coke and petroleum; Chemicals, etc</v>
      </c>
      <c r="B176" s="374">
        <f>$B$6</f>
        <v>2015</v>
      </c>
      <c r="C176" s="374"/>
      <c r="D176" s="374"/>
      <c r="E176" s="374"/>
      <c r="F176" s="263"/>
      <c r="G176" s="374">
        <f>$G$6</f>
        <v>2020</v>
      </c>
      <c r="H176" s="374"/>
      <c r="I176" s="374"/>
      <c r="J176" s="374"/>
      <c r="K176" s="263"/>
      <c r="L176" s="374">
        <f>$L$6</f>
        <v>2035</v>
      </c>
      <c r="M176" s="374"/>
      <c r="N176" s="374"/>
      <c r="O176" s="374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0.78711466503426153</v>
      </c>
      <c r="C179" s="302">
        <v>2.0539809459512892E-2</v>
      </c>
      <c r="D179" s="302">
        <v>1.9880601754254067E-2</v>
      </c>
      <c r="E179" s="302">
        <f>SUM(B179:D179)</f>
        <v>0.82753507624802847</v>
      </c>
      <c r="F179" s="303"/>
      <c r="G179" s="302">
        <v>1.0560824760710992</v>
      </c>
      <c r="H179" s="302">
        <v>4.0788218538385226E-2</v>
      </c>
      <c r="I179" s="302">
        <v>9.7553017692332489E-2</v>
      </c>
      <c r="J179" s="302">
        <f>SUM(G179:I179)</f>
        <v>1.1944237123018169</v>
      </c>
      <c r="K179" s="303"/>
      <c r="L179" s="302">
        <v>1.2806165171178081</v>
      </c>
      <c r="M179" s="302">
        <v>5.9890998485128744E-2</v>
      </c>
      <c r="N179" s="302">
        <v>0.10655278577527233</v>
      </c>
      <c r="O179" s="302">
        <f>SUM(L179:N179)</f>
        <v>1.4470603013782093</v>
      </c>
    </row>
    <row r="180" spans="1:15" s="236" customFormat="1" x14ac:dyDescent="0.2">
      <c r="A180" s="237" t="str">
        <f>name!E$5</f>
        <v>Professional occupations</v>
      </c>
      <c r="B180" s="302">
        <v>1.3084965512745981</v>
      </c>
      <c r="C180" s="302">
        <v>2.4031752101061329E-2</v>
      </c>
      <c r="D180" s="302">
        <v>0.15586566922340303</v>
      </c>
      <c r="E180" s="302">
        <f t="shared" ref="E180:E187" si="91">SUM(B180:D180)</f>
        <v>1.4883939725990625</v>
      </c>
      <c r="F180" s="303"/>
      <c r="G180" s="302">
        <v>1.8974452226633796</v>
      </c>
      <c r="H180" s="302">
        <v>4.6392833844836959E-2</v>
      </c>
      <c r="I180" s="302">
        <v>0.24821488917321868</v>
      </c>
      <c r="J180" s="302">
        <f t="shared" ref="J180:J182" si="92">SUM(G180:I180)</f>
        <v>2.1920529456814353</v>
      </c>
      <c r="K180" s="303"/>
      <c r="L180" s="302">
        <v>2.5637633610337462</v>
      </c>
      <c r="M180" s="302">
        <v>6.6964327386156541E-2</v>
      </c>
      <c r="N180" s="302">
        <v>0.28831734866745051</v>
      </c>
      <c r="O180" s="302">
        <f t="shared" ref="O180:O187" si="93">SUM(L180:N180)</f>
        <v>2.9190450370873533</v>
      </c>
    </row>
    <row r="181" spans="1:15" s="236" customFormat="1" x14ac:dyDescent="0.2">
      <c r="A181" s="237" t="str">
        <f>name!E$6</f>
        <v>Associate professional occupations</v>
      </c>
      <c r="B181" s="302">
        <v>0.90713389874913131</v>
      </c>
      <c r="C181" s="302">
        <v>3.4923124741781462E-2</v>
      </c>
      <c r="D181" s="302">
        <v>3.4224888920727066E-2</v>
      </c>
      <c r="E181" s="302">
        <f t="shared" si="91"/>
        <v>0.97628191241163986</v>
      </c>
      <c r="F181" s="303"/>
      <c r="G181" s="302">
        <v>1.2947241844252189</v>
      </c>
      <c r="H181" s="302">
        <v>6.409552494987962E-2</v>
      </c>
      <c r="I181" s="302">
        <v>0.10066581214568282</v>
      </c>
      <c r="J181" s="302">
        <f t="shared" si="92"/>
        <v>1.4594855215207811</v>
      </c>
      <c r="K181" s="303"/>
      <c r="L181" s="302">
        <v>1.4931230613913118</v>
      </c>
      <c r="M181" s="302">
        <v>7.0117179687590944E-2</v>
      </c>
      <c r="N181" s="302">
        <v>0.11980282623134239</v>
      </c>
      <c r="O181" s="302">
        <f t="shared" si="93"/>
        <v>1.6830430673102452</v>
      </c>
    </row>
    <row r="182" spans="1:15" s="236" customFormat="1" x14ac:dyDescent="0.2">
      <c r="A182" s="237" t="str">
        <f>name!E$7</f>
        <v>Administrative and secretarial occupations</v>
      </c>
      <c r="B182" s="302">
        <v>0.60094305584553642</v>
      </c>
      <c r="C182" s="302">
        <v>5.4529912648694182E-2</v>
      </c>
      <c r="D182" s="302">
        <v>4.8095689938997066E-3</v>
      </c>
      <c r="E182" s="302">
        <f t="shared" si="91"/>
        <v>0.66028253748813037</v>
      </c>
      <c r="F182" s="303"/>
      <c r="G182" s="302">
        <v>0.75905506018235569</v>
      </c>
      <c r="H182" s="302">
        <v>7.405271924820292E-2</v>
      </c>
      <c r="I182" s="302">
        <v>2.8599404864828332E-2</v>
      </c>
      <c r="J182" s="302">
        <f t="shared" si="92"/>
        <v>0.86170718429538695</v>
      </c>
      <c r="K182" s="303"/>
      <c r="L182" s="302">
        <v>0.8608039012242612</v>
      </c>
      <c r="M182" s="302">
        <v>7.8792349120849578E-2</v>
      </c>
      <c r="N182" s="302">
        <v>1.8100108174056211E-2</v>
      </c>
      <c r="O182" s="302">
        <f t="shared" si="93"/>
        <v>0.9576963585191669</v>
      </c>
    </row>
    <row r="183" spans="1:15" s="236" customFormat="1" x14ac:dyDescent="0.2">
      <c r="A183" s="237" t="str">
        <f>name!E$8</f>
        <v>Skilled trades occupations</v>
      </c>
      <c r="B183" s="302">
        <v>0.30294512769244564</v>
      </c>
      <c r="C183" s="302">
        <v>2.190381407414187E-2</v>
      </c>
      <c r="D183" s="302">
        <v>0.10311707102161702</v>
      </c>
      <c r="E183" s="302">
        <f t="shared" si="91"/>
        <v>0.42796601278820456</v>
      </c>
      <c r="F183" s="303"/>
      <c r="G183" s="302">
        <v>0.28069513259719908</v>
      </c>
      <c r="H183" s="302">
        <v>2.4486383541065408E-2</v>
      </c>
      <c r="I183" s="302">
        <v>0.1151129297903281</v>
      </c>
      <c r="J183" s="302">
        <f>SUM(G183:I183)</f>
        <v>0.42029444592859261</v>
      </c>
      <c r="K183" s="303"/>
      <c r="L183" s="302">
        <v>0.29388201068399966</v>
      </c>
      <c r="M183" s="302">
        <v>3.5380059955197329E-2</v>
      </c>
      <c r="N183" s="302">
        <v>0.15566465643310182</v>
      </c>
      <c r="O183" s="302">
        <f t="shared" si="93"/>
        <v>0.48492672707229878</v>
      </c>
    </row>
    <row r="184" spans="1:15" s="236" customFormat="1" x14ac:dyDescent="0.2">
      <c r="A184" s="237" t="str">
        <f>name!E$9</f>
        <v>Caring, leisure and other service occupations</v>
      </c>
      <c r="B184" s="302">
        <v>6.1300742254998965E-2</v>
      </c>
      <c r="C184" s="302">
        <v>8.7937796933686401E-3</v>
      </c>
      <c r="D184" s="302">
        <v>5.6924994759307204E-3</v>
      </c>
      <c r="E184" s="302">
        <f t="shared" si="91"/>
        <v>7.5787021424298315E-2</v>
      </c>
      <c r="F184" s="303"/>
      <c r="G184" s="302">
        <v>7.2210352627330096E-2</v>
      </c>
      <c r="H184" s="302">
        <v>1.2807099301763811E-2</v>
      </c>
      <c r="I184" s="302">
        <v>0.1220822201707481</v>
      </c>
      <c r="J184" s="302">
        <f t="shared" ref="J184:J187" si="94">SUM(G184:I184)</f>
        <v>0.20709967209984201</v>
      </c>
      <c r="K184" s="303"/>
      <c r="L184" s="302">
        <v>9.2065168974994047E-2</v>
      </c>
      <c r="M184" s="302">
        <v>1.7992537162843825E-2</v>
      </c>
      <c r="N184" s="302">
        <v>0.14133628179163119</v>
      </c>
      <c r="O184" s="302">
        <f t="shared" si="93"/>
        <v>0.25139398792946904</v>
      </c>
    </row>
    <row r="185" spans="1:15" s="236" customFormat="1" x14ac:dyDescent="0.2">
      <c r="A185" s="237" t="str">
        <f>name!E$10</f>
        <v>Sales and customer service occupations</v>
      </c>
      <c r="B185" s="302">
        <v>0.18235796705907972</v>
      </c>
      <c r="C185" s="302">
        <v>3.3915804131629104E-2</v>
      </c>
      <c r="D185" s="302">
        <v>4.5039711048486201E-3</v>
      </c>
      <c r="E185" s="302">
        <f t="shared" si="91"/>
        <v>0.22077774229555747</v>
      </c>
      <c r="F185" s="303"/>
      <c r="G185" s="302">
        <v>0.21531911692506583</v>
      </c>
      <c r="H185" s="302">
        <v>4.2763704815133891E-2</v>
      </c>
      <c r="I185" s="302">
        <v>3.2794378320796097E-2</v>
      </c>
      <c r="J185" s="302">
        <f t="shared" si="94"/>
        <v>0.29087720006099582</v>
      </c>
      <c r="K185" s="303"/>
      <c r="L185" s="302">
        <v>0.27215171192721888</v>
      </c>
      <c r="M185" s="302">
        <v>5.5071942706603406E-2</v>
      </c>
      <c r="N185" s="302">
        <v>3.1735207685349688E-2</v>
      </c>
      <c r="O185" s="302">
        <f t="shared" si="93"/>
        <v>0.35895886231917201</v>
      </c>
    </row>
    <row r="186" spans="1:15" s="236" customFormat="1" x14ac:dyDescent="0.2">
      <c r="A186" s="237" t="str">
        <f>name!E$11</f>
        <v>Process, plant and machine operatives</v>
      </c>
      <c r="B186" s="302">
        <v>0.46271925010294951</v>
      </c>
      <c r="C186" s="302">
        <v>3.6961564177480824E-2</v>
      </c>
      <c r="D186" s="302">
        <v>1.8184145106012902E-2</v>
      </c>
      <c r="E186" s="302">
        <f t="shared" si="91"/>
        <v>0.51786495938644317</v>
      </c>
      <c r="F186" s="303"/>
      <c r="G186" s="302">
        <v>0.40881472416636649</v>
      </c>
      <c r="H186" s="302">
        <v>4.4270565317481199E-2</v>
      </c>
      <c r="I186" s="302">
        <v>0.18061125380131204</v>
      </c>
      <c r="J186" s="302">
        <f t="shared" si="94"/>
        <v>0.63369654328515979</v>
      </c>
      <c r="K186" s="303"/>
      <c r="L186" s="302">
        <v>0.24754669356352571</v>
      </c>
      <c r="M186" s="302">
        <v>7.4172872362286452E-2</v>
      </c>
      <c r="N186" s="302">
        <v>0.23023959363528992</v>
      </c>
      <c r="O186" s="302">
        <f t="shared" si="93"/>
        <v>0.55195915956110209</v>
      </c>
    </row>
    <row r="187" spans="1:15" s="236" customFormat="1" x14ac:dyDescent="0.2">
      <c r="A187" s="237" t="str">
        <f>name!E$12</f>
        <v>Elementary occupations</v>
      </c>
      <c r="B187" s="302">
        <v>0.37798874196544591</v>
      </c>
      <c r="C187" s="302">
        <v>6.0400438973302627E-2</v>
      </c>
      <c r="D187" s="302">
        <v>2.8721584401700539E-2</v>
      </c>
      <c r="E187" s="302">
        <f t="shared" si="91"/>
        <v>0.46711076534044904</v>
      </c>
      <c r="F187" s="303"/>
      <c r="G187" s="302">
        <v>0.32565373029444089</v>
      </c>
      <c r="H187" s="302">
        <v>7.2342950448806745E-2</v>
      </c>
      <c r="I187" s="302">
        <v>0.21736609403929719</v>
      </c>
      <c r="J187" s="302">
        <f t="shared" si="94"/>
        <v>0.61536277478254475</v>
      </c>
      <c r="K187" s="303"/>
      <c r="L187" s="302">
        <v>0.26504757408214091</v>
      </c>
      <c r="M187" s="302">
        <v>7.0617733133310184E-2</v>
      </c>
      <c r="N187" s="302">
        <v>0.20925119160645111</v>
      </c>
      <c r="O187" s="302">
        <f t="shared" si="93"/>
        <v>0.54491649882190218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32</v>
      </c>
      <c r="B189" s="311">
        <f>SUM(B179:B187)</f>
        <v>4.9909999999784471</v>
      </c>
      <c r="C189" s="311">
        <f t="shared" ref="C189:E189" si="95">SUM(C179:C187)</f>
        <v>0.29600000000097287</v>
      </c>
      <c r="D189" s="311">
        <f t="shared" si="95"/>
        <v>0.37500000000239364</v>
      </c>
      <c r="E189" s="311">
        <f t="shared" si="95"/>
        <v>5.6619999999818136</v>
      </c>
      <c r="F189" s="311"/>
      <c r="G189" s="311">
        <f t="shared" ref="G189:J189" si="96">SUM(G179:G187)</f>
        <v>6.3099999999524554</v>
      </c>
      <c r="H189" s="311">
        <f t="shared" si="96"/>
        <v>0.42200000000555576</v>
      </c>
      <c r="I189" s="311">
        <f t="shared" si="96"/>
        <v>1.1429999999985438</v>
      </c>
      <c r="J189" s="311">
        <f t="shared" si="96"/>
        <v>7.8749999999565556</v>
      </c>
      <c r="K189" s="311"/>
      <c r="L189" s="311">
        <f t="shared" ref="L189:O189" si="97">SUM(L179:L187)</f>
        <v>7.368999999999005</v>
      </c>
      <c r="M189" s="311">
        <f t="shared" si="97"/>
        <v>0.52899999999996705</v>
      </c>
      <c r="N189" s="311">
        <f t="shared" si="97"/>
        <v>1.3009999999999451</v>
      </c>
      <c r="O189" s="311">
        <f t="shared" si="97"/>
        <v>9.198999999998918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name!A14</f>
        <v>Pharmaceuticals</v>
      </c>
      <c r="B193" s="374">
        <f>$B$6</f>
        <v>2015</v>
      </c>
      <c r="C193" s="374"/>
      <c r="D193" s="374"/>
      <c r="E193" s="374"/>
      <c r="F193" s="263"/>
      <c r="G193" s="374">
        <f>$G$6</f>
        <v>2020</v>
      </c>
      <c r="H193" s="374"/>
      <c r="I193" s="374"/>
      <c r="J193" s="374"/>
      <c r="K193" s="263"/>
      <c r="L193" s="374">
        <f>$L$6</f>
        <v>2035</v>
      </c>
      <c r="M193" s="374"/>
      <c r="N193" s="374"/>
      <c r="O193" s="374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0.30305219023746205</v>
      </c>
      <c r="C196" s="302">
        <v>1.7109162124558347E-2</v>
      </c>
      <c r="D196" s="302">
        <v>3.2032932217663061E-2</v>
      </c>
      <c r="E196" s="302">
        <f>SUM(B196:D196)</f>
        <v>0.35219428457968344</v>
      </c>
      <c r="F196" s="303"/>
      <c r="G196" s="302">
        <v>0.50741984689572062</v>
      </c>
      <c r="H196" s="302">
        <v>0.10594921791027996</v>
      </c>
      <c r="I196" s="302">
        <v>0.10579785692821295</v>
      </c>
      <c r="J196" s="302">
        <f>SUM(G196:I196)</f>
        <v>0.71916692173421359</v>
      </c>
      <c r="K196" s="303"/>
      <c r="L196" s="302">
        <v>0.56155962739976284</v>
      </c>
      <c r="M196" s="302">
        <v>0.16248201636052154</v>
      </c>
      <c r="N196" s="302">
        <v>0.14150336032104757</v>
      </c>
      <c r="O196" s="302">
        <f>SUM(L196:N196)</f>
        <v>0.86554500408133195</v>
      </c>
    </row>
    <row r="197" spans="1:15" s="236" customFormat="1" x14ac:dyDescent="0.2">
      <c r="A197" s="237" t="str">
        <f>name!E$5</f>
        <v>Professional occupations</v>
      </c>
      <c r="B197" s="302">
        <v>0.84934854690367656</v>
      </c>
      <c r="C197" s="302">
        <v>2.5242001550327561E-2</v>
      </c>
      <c r="D197" s="302">
        <v>4.4137606176804532E-2</v>
      </c>
      <c r="E197" s="302">
        <f t="shared" ref="E197:E204" si="98">SUM(B197:D197)</f>
        <v>0.91872815463080859</v>
      </c>
      <c r="F197" s="303"/>
      <c r="G197" s="302">
        <v>1.6085748888730831</v>
      </c>
      <c r="H197" s="302">
        <v>0.14276403371285212</v>
      </c>
      <c r="I197" s="302">
        <v>0.12822825748184688</v>
      </c>
      <c r="J197" s="302">
        <f t="shared" ref="J197:J199" si="99">SUM(G197:I197)</f>
        <v>1.8795671800677822</v>
      </c>
      <c r="K197" s="303"/>
      <c r="L197" s="302">
        <v>2.0209325906950175</v>
      </c>
      <c r="M197" s="302">
        <v>0.20241876650032761</v>
      </c>
      <c r="N197" s="302">
        <v>0.11748947789811934</v>
      </c>
      <c r="O197" s="302">
        <f t="shared" ref="O197:O204" si="100">SUM(L197:N197)</f>
        <v>2.3408408350934642</v>
      </c>
    </row>
    <row r="198" spans="1:15" s="236" customFormat="1" x14ac:dyDescent="0.2">
      <c r="A198" s="237" t="str">
        <f>name!E$6</f>
        <v>Associate professional occupations</v>
      </c>
      <c r="B198" s="302">
        <v>0.44950864635345805</v>
      </c>
      <c r="C198" s="302">
        <v>3.4822399011844994E-2</v>
      </c>
      <c r="D198" s="302">
        <v>3.5837879739464638E-2</v>
      </c>
      <c r="E198" s="302">
        <f t="shared" si="98"/>
        <v>0.52016892510476764</v>
      </c>
      <c r="F198" s="303"/>
      <c r="G198" s="302">
        <v>0.82765049590314743</v>
      </c>
      <c r="H198" s="302">
        <v>0.16943404827028444</v>
      </c>
      <c r="I198" s="302">
        <v>8.9455863466837399E-2</v>
      </c>
      <c r="J198" s="302">
        <f t="shared" si="99"/>
        <v>1.0865404076402692</v>
      </c>
      <c r="K198" s="303"/>
      <c r="L198" s="302">
        <v>0.87448604544184616</v>
      </c>
      <c r="M198" s="302">
        <v>0.21917672071854444</v>
      </c>
      <c r="N198" s="302">
        <v>0.12671977672745569</v>
      </c>
      <c r="O198" s="302">
        <f t="shared" si="100"/>
        <v>1.2203825428878463</v>
      </c>
    </row>
    <row r="199" spans="1:15" s="236" customFormat="1" x14ac:dyDescent="0.2">
      <c r="A199" s="237" t="str">
        <f>name!E$7</f>
        <v>Administrative and secretarial occupations</v>
      </c>
      <c r="B199" s="302">
        <v>0.1487574861029273</v>
      </c>
      <c r="C199" s="302">
        <v>1.6593083340563686E-2</v>
      </c>
      <c r="D199" s="302">
        <v>6.9199014222860646E-3</v>
      </c>
      <c r="E199" s="302">
        <f t="shared" si="98"/>
        <v>0.17227047086577707</v>
      </c>
      <c r="F199" s="303"/>
      <c r="G199" s="302">
        <v>0.23401930472588944</v>
      </c>
      <c r="H199" s="302">
        <v>7.0636941153645855E-2</v>
      </c>
      <c r="I199" s="302">
        <v>2.6082353179975332E-2</v>
      </c>
      <c r="J199" s="302">
        <f t="shared" si="99"/>
        <v>0.33073859905951064</v>
      </c>
      <c r="K199" s="303"/>
      <c r="L199" s="302">
        <v>0.21265712295121159</v>
      </c>
      <c r="M199" s="302">
        <v>7.9914286935157661E-2</v>
      </c>
      <c r="N199" s="302">
        <v>1.6167269090830414E-2</v>
      </c>
      <c r="O199" s="302">
        <f t="shared" si="100"/>
        <v>0.3087386789771997</v>
      </c>
    </row>
    <row r="200" spans="1:15" s="236" customFormat="1" x14ac:dyDescent="0.2">
      <c r="A200" s="237" t="str">
        <f>name!E$8</f>
        <v>Skilled trades occupations</v>
      </c>
      <c r="B200" s="302">
        <v>0.16904112554500533</v>
      </c>
      <c r="C200" s="302">
        <v>1.3166474009211726E-2</v>
      </c>
      <c r="D200" s="302">
        <v>6.3798721659611077E-2</v>
      </c>
      <c r="E200" s="302">
        <f t="shared" si="98"/>
        <v>0.24600632121382815</v>
      </c>
      <c r="F200" s="303"/>
      <c r="G200" s="302">
        <v>0.19684634499630216</v>
      </c>
      <c r="H200" s="302">
        <v>2.279633675175816E-2</v>
      </c>
      <c r="I200" s="302">
        <v>0.25175167308120061</v>
      </c>
      <c r="J200" s="302">
        <f>SUM(G200:I200)</f>
        <v>0.47139435482926095</v>
      </c>
      <c r="K200" s="303"/>
      <c r="L200" s="302">
        <v>0.17960258348049796</v>
      </c>
      <c r="M200" s="302">
        <v>5.0857420083870231E-2</v>
      </c>
      <c r="N200" s="302">
        <v>0.3292765661179039</v>
      </c>
      <c r="O200" s="302">
        <f t="shared" si="100"/>
        <v>0.55973656968227203</v>
      </c>
    </row>
    <row r="201" spans="1:15" s="236" customFormat="1" x14ac:dyDescent="0.2">
      <c r="A201" s="237" t="str">
        <f>name!E$9</f>
        <v>Caring, leisure and other service occupations</v>
      </c>
      <c r="B201" s="302">
        <v>3.879306042881079E-2</v>
      </c>
      <c r="C201" s="302">
        <v>5.0546276950450934E-3</v>
      </c>
      <c r="D201" s="302">
        <v>1.5569073328508764E-3</v>
      </c>
      <c r="E201" s="302">
        <f t="shared" si="98"/>
        <v>4.5404595456706755E-2</v>
      </c>
      <c r="F201" s="303"/>
      <c r="G201" s="302">
        <v>5.7072239830013007E-2</v>
      </c>
      <c r="H201" s="302">
        <v>1.7461128146824122E-2</v>
      </c>
      <c r="I201" s="302">
        <v>4.5367668116801383E-3</v>
      </c>
      <c r="J201" s="302">
        <f t="shared" ref="J201:J204" si="101">SUM(G201:I201)</f>
        <v>7.9070134788517266E-2</v>
      </c>
      <c r="K201" s="303"/>
      <c r="L201" s="302">
        <v>6.4525840935998752E-2</v>
      </c>
      <c r="M201" s="302">
        <v>2.1120684865785749E-2</v>
      </c>
      <c r="N201" s="302">
        <v>7.3789328442002032E-3</v>
      </c>
      <c r="O201" s="302">
        <f t="shared" si="100"/>
        <v>9.3025458645984702E-2</v>
      </c>
    </row>
    <row r="202" spans="1:15" s="236" customFormat="1" x14ac:dyDescent="0.2">
      <c r="A202" s="237" t="str">
        <f>name!E$10</f>
        <v>Sales and customer service occupations</v>
      </c>
      <c r="B202" s="302">
        <v>5.0497317332854647E-2</v>
      </c>
      <c r="C202" s="302">
        <v>1.0403011641455989E-2</v>
      </c>
      <c r="D202" s="302">
        <v>1.1223006412687321E-2</v>
      </c>
      <c r="E202" s="302">
        <f t="shared" si="98"/>
        <v>7.2123335386997958E-2</v>
      </c>
      <c r="F202" s="303"/>
      <c r="G202" s="302">
        <v>7.8060466471792295E-2</v>
      </c>
      <c r="H202" s="302">
        <v>3.3946353257417891E-2</v>
      </c>
      <c r="I202" s="302">
        <v>2.2374548972683695E-2</v>
      </c>
      <c r="J202" s="302">
        <f t="shared" si="101"/>
        <v>0.13438136870189388</v>
      </c>
      <c r="K202" s="303"/>
      <c r="L202" s="302">
        <v>8.9860025134333707E-2</v>
      </c>
      <c r="M202" s="302">
        <v>5.5689536965224044E-2</v>
      </c>
      <c r="N202" s="302">
        <v>2.9596320181033271E-2</v>
      </c>
      <c r="O202" s="302">
        <f t="shared" si="100"/>
        <v>0.17514588228059103</v>
      </c>
    </row>
    <row r="203" spans="1:15" s="236" customFormat="1" x14ac:dyDescent="0.2">
      <c r="A203" s="237" t="str">
        <f>name!E$11</f>
        <v>Process, plant and machine operatives</v>
      </c>
      <c r="B203" s="302">
        <v>0.10818169513039953</v>
      </c>
      <c r="C203" s="302">
        <v>1.123026544488589E-2</v>
      </c>
      <c r="D203" s="302">
        <v>1.5821531610935882E-2</v>
      </c>
      <c r="E203" s="302">
        <f t="shared" si="98"/>
        <v>0.1352334921862213</v>
      </c>
      <c r="F203" s="303"/>
      <c r="G203" s="302">
        <v>0.12120622258322618</v>
      </c>
      <c r="H203" s="302">
        <v>3.4728798950355702E-2</v>
      </c>
      <c r="I203" s="302">
        <v>5.8313077836941445E-2</v>
      </c>
      <c r="J203" s="302">
        <f t="shared" si="101"/>
        <v>0.21424809937052333</v>
      </c>
      <c r="K203" s="303"/>
      <c r="L203" s="302">
        <v>5.2048072552951373E-2</v>
      </c>
      <c r="M203" s="302">
        <v>6.6552721252497823E-2</v>
      </c>
      <c r="N203" s="302">
        <v>0.11556737421718906</v>
      </c>
      <c r="O203" s="302">
        <f t="shared" si="100"/>
        <v>0.23416816802263823</v>
      </c>
    </row>
    <row r="204" spans="1:15" s="236" customFormat="1" x14ac:dyDescent="0.2">
      <c r="A204" s="237" t="str">
        <f>name!E$12</f>
        <v>Elementary occupations</v>
      </c>
      <c r="B204" s="302">
        <v>9.2819931960574392E-2</v>
      </c>
      <c r="C204" s="302">
        <v>2.2378975182055678E-2</v>
      </c>
      <c r="D204" s="302">
        <v>9.6715134296093408E-3</v>
      </c>
      <c r="E204" s="302">
        <f t="shared" si="98"/>
        <v>0.1248704205722394</v>
      </c>
      <c r="F204" s="303"/>
      <c r="G204" s="302">
        <v>0.10415018968820788</v>
      </c>
      <c r="H204" s="302">
        <v>6.8283141849066711E-2</v>
      </c>
      <c r="I204" s="302">
        <v>2.9459602239561022E-2</v>
      </c>
      <c r="J204" s="302">
        <f t="shared" si="101"/>
        <v>0.20189293377683559</v>
      </c>
      <c r="K204" s="303"/>
      <c r="L204" s="302">
        <v>8.3328091404205537E-2</v>
      </c>
      <c r="M204" s="302">
        <v>7.078784631660065E-2</v>
      </c>
      <c r="N204" s="302">
        <v>6.0300922606115387E-2</v>
      </c>
      <c r="O204" s="302">
        <f t="shared" si="100"/>
        <v>0.21441686032692156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32</v>
      </c>
      <c r="B206" s="311">
        <f>SUM(B196:B204)</f>
        <v>2.2099999999951687</v>
      </c>
      <c r="C206" s="311">
        <f t="shared" ref="C206:E206" si="102">SUM(C196:C204)</f>
        <v>0.15599999999994896</v>
      </c>
      <c r="D206" s="311">
        <f t="shared" si="102"/>
        <v>0.22100000000191278</v>
      </c>
      <c r="E206" s="311">
        <f t="shared" si="102"/>
        <v>2.5869999999970301</v>
      </c>
      <c r="F206" s="311"/>
      <c r="G206" s="311">
        <f t="shared" ref="G206:J206" si="103">SUM(G196:G204)</f>
        <v>3.7349999999673815</v>
      </c>
      <c r="H206" s="311">
        <f t="shared" si="103"/>
        <v>0.66600000000248494</v>
      </c>
      <c r="I206" s="311">
        <f t="shared" si="103"/>
        <v>0.71599999999893937</v>
      </c>
      <c r="J206" s="311">
        <f t="shared" si="103"/>
        <v>5.1169999999688063</v>
      </c>
      <c r="K206" s="311"/>
      <c r="L206" s="311">
        <f t="shared" ref="L206:O206" si="104">SUM(L196:L204)</f>
        <v>4.1389999999958258</v>
      </c>
      <c r="M206" s="311">
        <f t="shared" si="104"/>
        <v>0.92899999999852967</v>
      </c>
      <c r="N206" s="311">
        <f t="shared" si="104"/>
        <v>0.94400000000389495</v>
      </c>
      <c r="O206" s="311">
        <f t="shared" si="104"/>
        <v>6.0119999999982507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name!A15</f>
        <v>Rubber and plastic</v>
      </c>
      <c r="B210" s="374">
        <f>$B$6</f>
        <v>2015</v>
      </c>
      <c r="C210" s="374"/>
      <c r="D210" s="374"/>
      <c r="E210" s="374"/>
      <c r="F210" s="263"/>
      <c r="G210" s="374">
        <f>$G$6</f>
        <v>2020</v>
      </c>
      <c r="H210" s="374"/>
      <c r="I210" s="374"/>
      <c r="J210" s="374"/>
      <c r="K210" s="263"/>
      <c r="L210" s="374">
        <f>$L$6</f>
        <v>2035</v>
      </c>
      <c r="M210" s="374"/>
      <c r="N210" s="374"/>
      <c r="O210" s="374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1.5678952308204575</v>
      </c>
      <c r="C213" s="302">
        <v>6.40680877878093E-2</v>
      </c>
      <c r="D213" s="302">
        <v>0.41786299073684824</v>
      </c>
      <c r="E213" s="302">
        <f>SUM(B213:D213)</f>
        <v>2.0498263093451148</v>
      </c>
      <c r="F213" s="303"/>
      <c r="G213" s="302">
        <v>1.5424465703298846</v>
      </c>
      <c r="H213" s="302">
        <v>0.14342135666568467</v>
      </c>
      <c r="I213" s="302">
        <v>0.31049553727007584</v>
      </c>
      <c r="J213" s="302">
        <f>SUM(G213:I213)</f>
        <v>1.9963634642656451</v>
      </c>
      <c r="K213" s="303"/>
      <c r="L213" s="302">
        <v>1.4808349282806987</v>
      </c>
      <c r="M213" s="302">
        <v>0.16105910330405254</v>
      </c>
      <c r="N213" s="302">
        <v>0.28473644881168364</v>
      </c>
      <c r="O213" s="302">
        <f>SUM(L213:N213)</f>
        <v>1.9266304803964349</v>
      </c>
    </row>
    <row r="214" spans="1:15" s="236" customFormat="1" x14ac:dyDescent="0.2">
      <c r="A214" s="237" t="str">
        <f>name!E$5</f>
        <v>Professional occupations</v>
      </c>
      <c r="B214" s="302">
        <v>1.4889585412249655</v>
      </c>
      <c r="C214" s="302">
        <v>3.4171937640800787E-2</v>
      </c>
      <c r="D214" s="302">
        <v>0.12877111358717075</v>
      </c>
      <c r="E214" s="302">
        <f t="shared" ref="E214:E221" si="105">SUM(B214:D214)</f>
        <v>1.651901592452937</v>
      </c>
      <c r="F214" s="303"/>
      <c r="G214" s="302">
        <v>1.6339566668974781</v>
      </c>
      <c r="H214" s="302">
        <v>7.3909106065116567E-2</v>
      </c>
      <c r="I214" s="302">
        <v>9.8390640591580925E-2</v>
      </c>
      <c r="J214" s="302">
        <f t="shared" ref="J214:J216" si="106">SUM(G214:I214)</f>
        <v>1.8062564135541754</v>
      </c>
      <c r="K214" s="303"/>
      <c r="L214" s="302">
        <v>1.8426627318531206</v>
      </c>
      <c r="M214" s="302">
        <v>7.6457653769052517E-2</v>
      </c>
      <c r="N214" s="302">
        <v>7.8480490695075969E-2</v>
      </c>
      <c r="O214" s="302">
        <f t="shared" ref="O214:O221" si="107">SUM(L214:N214)</f>
        <v>1.997600876317249</v>
      </c>
    </row>
    <row r="215" spans="1:15" s="236" customFormat="1" x14ac:dyDescent="0.2">
      <c r="A215" s="237" t="str">
        <f>name!E$6</f>
        <v>Associate professional occupations</v>
      </c>
      <c r="B215" s="302">
        <v>1.5018086417452814</v>
      </c>
      <c r="C215" s="302">
        <v>5.5920549899132713E-2</v>
      </c>
      <c r="D215" s="302">
        <v>0.12361877027186029</v>
      </c>
      <c r="E215" s="302">
        <f t="shared" si="105"/>
        <v>1.6813479619162743</v>
      </c>
      <c r="F215" s="303"/>
      <c r="G215" s="302">
        <v>1.5703405393667362</v>
      </c>
      <c r="H215" s="302">
        <v>9.9765012136845063E-2</v>
      </c>
      <c r="I215" s="302">
        <v>6.9943198174105409E-2</v>
      </c>
      <c r="J215" s="302">
        <f t="shared" si="106"/>
        <v>1.7400487496776866</v>
      </c>
      <c r="K215" s="303"/>
      <c r="L215" s="302">
        <v>1.392837291604536</v>
      </c>
      <c r="M215" s="302">
        <v>8.6073445454410785E-2</v>
      </c>
      <c r="N215" s="302">
        <v>6.3588603359002682E-2</v>
      </c>
      <c r="O215" s="302">
        <f t="shared" si="107"/>
        <v>1.5424993404179494</v>
      </c>
    </row>
    <row r="216" spans="1:15" s="236" customFormat="1" x14ac:dyDescent="0.2">
      <c r="A216" s="237" t="str">
        <f>name!E$7</f>
        <v>Administrative and secretarial occupations</v>
      </c>
      <c r="B216" s="302">
        <v>0.74664336623462624</v>
      </c>
      <c r="C216" s="302">
        <v>0.14382023930118026</v>
      </c>
      <c r="D216" s="302">
        <v>4.3519934696231721E-2</v>
      </c>
      <c r="E216" s="302">
        <f t="shared" si="105"/>
        <v>0.93398354023203822</v>
      </c>
      <c r="F216" s="303"/>
      <c r="G216" s="302">
        <v>0.69231062977575575</v>
      </c>
      <c r="H216" s="302">
        <v>0.19814503498162578</v>
      </c>
      <c r="I216" s="302">
        <v>8.3344644870195148E-2</v>
      </c>
      <c r="J216" s="302">
        <f t="shared" si="106"/>
        <v>0.97380030962757669</v>
      </c>
      <c r="K216" s="303"/>
      <c r="L216" s="302">
        <v>0.58595163953940366</v>
      </c>
      <c r="M216" s="302">
        <v>0.12830769121511662</v>
      </c>
      <c r="N216" s="302">
        <v>2.5404820431285419E-2</v>
      </c>
      <c r="O216" s="302">
        <f t="shared" si="107"/>
        <v>0.73966415118580575</v>
      </c>
    </row>
    <row r="217" spans="1:15" s="236" customFormat="1" x14ac:dyDescent="0.2">
      <c r="A217" s="237" t="str">
        <f>name!E$8</f>
        <v>Skilled trades occupations</v>
      </c>
      <c r="B217" s="302">
        <v>2.9634526283231684</v>
      </c>
      <c r="C217" s="302">
        <v>7.0837781695060234E-2</v>
      </c>
      <c r="D217" s="302">
        <v>0.41558285003484274</v>
      </c>
      <c r="E217" s="302">
        <f t="shared" si="105"/>
        <v>3.4498732600530713</v>
      </c>
      <c r="F217" s="303"/>
      <c r="G217" s="302">
        <v>2.0440857820990943</v>
      </c>
      <c r="H217" s="302">
        <v>8.4485649736791277E-2</v>
      </c>
      <c r="I217" s="302">
        <v>0.39621165447951051</v>
      </c>
      <c r="J217" s="302">
        <f>SUM(G217:I217)</f>
        <v>2.5247830863153964</v>
      </c>
      <c r="K217" s="303"/>
      <c r="L217" s="302">
        <v>1.716343864454918</v>
      </c>
      <c r="M217" s="302">
        <v>0.11445036651481891</v>
      </c>
      <c r="N217" s="302">
        <v>0.38374768463289805</v>
      </c>
      <c r="O217" s="302">
        <f t="shared" si="107"/>
        <v>2.2145419156026351</v>
      </c>
    </row>
    <row r="218" spans="1:15" s="236" customFormat="1" x14ac:dyDescent="0.2">
      <c r="A218" s="237" t="str">
        <f>name!E$9</f>
        <v>Caring, leisure and other service occupations</v>
      </c>
      <c r="B218" s="302">
        <v>0.25878038628657579</v>
      </c>
      <c r="C218" s="302">
        <v>2.7186966618716338E-2</v>
      </c>
      <c r="D218" s="302">
        <v>6.8586580929682339E-3</v>
      </c>
      <c r="E218" s="302">
        <f t="shared" si="105"/>
        <v>0.29282601099826033</v>
      </c>
      <c r="F218" s="303"/>
      <c r="G218" s="302">
        <v>0.25823860271572441</v>
      </c>
      <c r="H218" s="302">
        <v>4.2239446469914753E-2</v>
      </c>
      <c r="I218" s="302">
        <v>4.708359407524434E-3</v>
      </c>
      <c r="J218" s="302">
        <f t="shared" ref="J218:J221" si="108">SUM(G218:I218)</f>
        <v>0.30518640859316359</v>
      </c>
      <c r="K218" s="303"/>
      <c r="L218" s="302">
        <v>0.39917642978707069</v>
      </c>
      <c r="M218" s="302">
        <v>3.7450737105947159E-2</v>
      </c>
      <c r="N218" s="302">
        <v>5.137678361741841E-3</v>
      </c>
      <c r="O218" s="302">
        <f t="shared" si="107"/>
        <v>0.44176484525475967</v>
      </c>
    </row>
    <row r="219" spans="1:15" s="236" customFormat="1" x14ac:dyDescent="0.2">
      <c r="A219" s="237" t="str">
        <f>name!E$10</f>
        <v>Sales and customer service occupations</v>
      </c>
      <c r="B219" s="302">
        <v>0.42583806988652839</v>
      </c>
      <c r="C219" s="302">
        <v>6.2453222202253425E-2</v>
      </c>
      <c r="D219" s="302">
        <v>0.10125765994128723</v>
      </c>
      <c r="E219" s="302">
        <f t="shared" si="105"/>
        <v>0.58954895203006907</v>
      </c>
      <c r="F219" s="303"/>
      <c r="G219" s="302">
        <v>0.35429988589297506</v>
      </c>
      <c r="H219" s="302">
        <v>8.822445102140361E-2</v>
      </c>
      <c r="I219" s="302">
        <v>4.3046370189071412E-2</v>
      </c>
      <c r="J219" s="302">
        <f t="shared" si="108"/>
        <v>0.48557070710345007</v>
      </c>
      <c r="K219" s="303"/>
      <c r="L219" s="302">
        <v>0.36207884832986348</v>
      </c>
      <c r="M219" s="302">
        <v>8.3332210888708944E-2</v>
      </c>
      <c r="N219" s="302">
        <v>3.9454552646696645E-2</v>
      </c>
      <c r="O219" s="302">
        <f t="shared" si="107"/>
        <v>0.48486561186526911</v>
      </c>
    </row>
    <row r="220" spans="1:15" s="236" customFormat="1" x14ac:dyDescent="0.2">
      <c r="A220" s="237" t="str">
        <f>name!E$11</f>
        <v>Process, plant and machine operatives</v>
      </c>
      <c r="B220" s="302">
        <v>1.9255884836434425</v>
      </c>
      <c r="C220" s="302">
        <v>9.9936904660201192E-2</v>
      </c>
      <c r="D220" s="302">
        <v>0.11701971272310029</v>
      </c>
      <c r="E220" s="302">
        <f t="shared" si="105"/>
        <v>2.1425451010267436</v>
      </c>
      <c r="F220" s="303"/>
      <c r="G220" s="302">
        <v>1.326299007852078</v>
      </c>
      <c r="H220" s="302">
        <v>0.13414396737529136</v>
      </c>
      <c r="I220" s="302">
        <v>0.10520668846504284</v>
      </c>
      <c r="J220" s="302">
        <f t="shared" si="108"/>
        <v>1.5656496636924122</v>
      </c>
      <c r="K220" s="303"/>
      <c r="L220" s="302">
        <v>0.94455015668910669</v>
      </c>
      <c r="M220" s="302">
        <v>0.17777354967947148</v>
      </c>
      <c r="N220" s="302">
        <v>0.13869956886683474</v>
      </c>
      <c r="O220" s="302">
        <f t="shared" si="107"/>
        <v>1.2610232752354129</v>
      </c>
    </row>
    <row r="221" spans="1:15" s="236" customFormat="1" x14ac:dyDescent="0.2">
      <c r="A221" s="237" t="str">
        <f>name!E$12</f>
        <v>Elementary occupations</v>
      </c>
      <c r="B221" s="302">
        <v>1.5830346518241567</v>
      </c>
      <c r="C221" s="302">
        <v>7.5604310195080099E-2</v>
      </c>
      <c r="D221" s="302">
        <v>1.1508309923154748E-2</v>
      </c>
      <c r="E221" s="302">
        <f t="shared" si="105"/>
        <v>1.6701472719423915</v>
      </c>
      <c r="F221" s="303"/>
      <c r="G221" s="302">
        <v>1.0850223151012479</v>
      </c>
      <c r="H221" s="302">
        <v>9.9665975559755912E-2</v>
      </c>
      <c r="I221" s="302">
        <v>6.6529065506965475E-3</v>
      </c>
      <c r="J221" s="302">
        <f t="shared" si="108"/>
        <v>1.1913411972117005</v>
      </c>
      <c r="K221" s="303"/>
      <c r="L221" s="302">
        <v>0.73556410954755169</v>
      </c>
      <c r="M221" s="302">
        <v>6.6095242064611176E-2</v>
      </c>
      <c r="N221" s="302">
        <v>4.7501521983113158E-3</v>
      </c>
      <c r="O221" s="302">
        <f t="shared" si="107"/>
        <v>0.80640950381047416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32</v>
      </c>
      <c r="B223" s="311">
        <f>SUM(B213:B221)</f>
        <v>12.461999999989205</v>
      </c>
      <c r="C223" s="311">
        <f t="shared" ref="C223:E223" si="109">SUM(C213:C221)</f>
        <v>0.63400000000023427</v>
      </c>
      <c r="D223" s="311">
        <f t="shared" si="109"/>
        <v>1.3660000000074644</v>
      </c>
      <c r="E223" s="311">
        <f t="shared" si="109"/>
        <v>14.4619999999969</v>
      </c>
      <c r="F223" s="311"/>
      <c r="G223" s="311">
        <f t="shared" ref="G223:J223" si="110">SUM(G213:G221)</f>
        <v>10.507000000030976</v>
      </c>
      <c r="H223" s="311">
        <f t="shared" si="110"/>
        <v>0.96400000001242891</v>
      </c>
      <c r="I223" s="311">
        <f t="shared" si="110"/>
        <v>1.1179999999978032</v>
      </c>
      <c r="J223" s="311">
        <f t="shared" si="110"/>
        <v>12.589000000041207</v>
      </c>
      <c r="K223" s="311"/>
      <c r="L223" s="311">
        <f t="shared" ref="L223:O223" si="111">SUM(L213:L221)</f>
        <v>9.4600000000862696</v>
      </c>
      <c r="M223" s="311">
        <f t="shared" si="111"/>
        <v>0.93099999999618999</v>
      </c>
      <c r="N223" s="311">
        <f t="shared" si="111"/>
        <v>1.0240000000035303</v>
      </c>
      <c r="O223" s="311">
        <f t="shared" si="111"/>
        <v>11.415000000085991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name!A16</f>
        <v>Other non-metallic</v>
      </c>
      <c r="B227" s="374">
        <f>$B$6</f>
        <v>2015</v>
      </c>
      <c r="C227" s="374"/>
      <c r="D227" s="374"/>
      <c r="E227" s="374"/>
      <c r="F227" s="263"/>
      <c r="G227" s="374">
        <f>$G$6</f>
        <v>2020</v>
      </c>
      <c r="H227" s="374"/>
      <c r="I227" s="374"/>
      <c r="J227" s="374"/>
      <c r="K227" s="263"/>
      <c r="L227" s="374">
        <f>$L$6</f>
        <v>2035</v>
      </c>
      <c r="M227" s="374"/>
      <c r="N227" s="374"/>
      <c r="O227" s="374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0.40480593233236761</v>
      </c>
      <c r="C230" s="302">
        <v>6.6750238086176134E-3</v>
      </c>
      <c r="D230" s="302">
        <v>6.7734911776619194E-2</v>
      </c>
      <c r="E230" s="302">
        <f>SUM(B230:D230)</f>
        <v>0.4792158679176044</v>
      </c>
      <c r="F230" s="303"/>
      <c r="G230" s="302">
        <v>0.60803695222721055</v>
      </c>
      <c r="H230" s="302">
        <v>2.2781281172538272E-2</v>
      </c>
      <c r="I230" s="302">
        <v>4.5801166261274097E-2</v>
      </c>
      <c r="J230" s="302">
        <f>SUM(G230:I230)</f>
        <v>0.67661939966102291</v>
      </c>
      <c r="K230" s="303"/>
      <c r="L230" s="302">
        <v>0.55587238661102478</v>
      </c>
      <c r="M230" s="302">
        <v>2.650890155623447E-2</v>
      </c>
      <c r="N230" s="302">
        <v>5.0099640968990583E-2</v>
      </c>
      <c r="O230" s="302">
        <f>SUM(L230:N230)</f>
        <v>0.63248092913624976</v>
      </c>
    </row>
    <row r="231" spans="1:15" s="236" customFormat="1" x14ac:dyDescent="0.2">
      <c r="A231" s="237" t="str">
        <f>name!E$5</f>
        <v>Professional occupations</v>
      </c>
      <c r="B231" s="302">
        <v>0.28638854555716409</v>
      </c>
      <c r="C231" s="302">
        <v>5.9290122261767561E-3</v>
      </c>
      <c r="D231" s="302">
        <v>1.50414129749294E-2</v>
      </c>
      <c r="E231" s="302">
        <f t="shared" ref="E231:E238" si="112">SUM(B231:D231)</f>
        <v>0.30735897075827023</v>
      </c>
      <c r="F231" s="303"/>
      <c r="G231" s="302">
        <v>0.50214709633128851</v>
      </c>
      <c r="H231" s="302">
        <v>1.9584659262379466E-2</v>
      </c>
      <c r="I231" s="302">
        <v>1.5422836881605805E-2</v>
      </c>
      <c r="J231" s="302">
        <f t="shared" ref="J231:J233" si="113">SUM(G231:I231)</f>
        <v>0.53715459247527386</v>
      </c>
      <c r="K231" s="303"/>
      <c r="L231" s="302">
        <v>0.53421353110136149</v>
      </c>
      <c r="M231" s="302">
        <v>2.042495599158017E-2</v>
      </c>
      <c r="N231" s="302">
        <v>1.199544831909235E-2</v>
      </c>
      <c r="O231" s="302">
        <f t="shared" ref="O231:O238" si="114">SUM(L231:N231)</f>
        <v>0.566633935412034</v>
      </c>
    </row>
    <row r="232" spans="1:15" s="236" customFormat="1" x14ac:dyDescent="0.2">
      <c r="A232" s="237" t="str">
        <f>name!E$6</f>
        <v>Associate professional occupations</v>
      </c>
      <c r="B232" s="302">
        <v>0.27545074761270399</v>
      </c>
      <c r="C232" s="302">
        <v>1.2659875495639369E-2</v>
      </c>
      <c r="D232" s="302">
        <v>1.1412431210361897E-2</v>
      </c>
      <c r="E232" s="302">
        <f t="shared" si="112"/>
        <v>0.29952305431870524</v>
      </c>
      <c r="F232" s="303"/>
      <c r="G232" s="302">
        <v>0.42801732777301743</v>
      </c>
      <c r="H232" s="302">
        <v>3.7705453887157431E-2</v>
      </c>
      <c r="I232" s="302">
        <v>1.2639158403281975E-2</v>
      </c>
      <c r="J232" s="302">
        <f t="shared" si="113"/>
        <v>0.47836194006345689</v>
      </c>
      <c r="K232" s="303"/>
      <c r="L232" s="302">
        <v>0.39547920509905216</v>
      </c>
      <c r="M232" s="302">
        <v>3.2095849869062457E-2</v>
      </c>
      <c r="N232" s="302">
        <v>1.0340876588619083E-2</v>
      </c>
      <c r="O232" s="302">
        <f t="shared" si="114"/>
        <v>0.4379159315567337</v>
      </c>
    </row>
    <row r="233" spans="1:15" s="236" customFormat="1" x14ac:dyDescent="0.2">
      <c r="A233" s="237" t="str">
        <f>name!E$7</f>
        <v>Administrative and secretarial occupations</v>
      </c>
      <c r="B233" s="302">
        <v>0.45735595277500091</v>
      </c>
      <c r="C233" s="302">
        <v>7.9041187357473452E-2</v>
      </c>
      <c r="D233" s="302">
        <v>8.4948799973418136E-3</v>
      </c>
      <c r="E233" s="302">
        <f t="shared" si="112"/>
        <v>0.54489202012981608</v>
      </c>
      <c r="F233" s="303"/>
      <c r="G233" s="302">
        <v>0.61407629806089414</v>
      </c>
      <c r="H233" s="302">
        <v>0.17205387702620875</v>
      </c>
      <c r="I233" s="302">
        <v>3.5222791667101502E-2</v>
      </c>
      <c r="J233" s="302">
        <f t="shared" si="113"/>
        <v>0.82135296675420444</v>
      </c>
      <c r="K233" s="303"/>
      <c r="L233" s="302">
        <v>0.44888127169557857</v>
      </c>
      <c r="M233" s="302">
        <v>0.15197723801370233</v>
      </c>
      <c r="N233" s="302">
        <v>3.5555260809469184E-2</v>
      </c>
      <c r="O233" s="302">
        <f t="shared" si="114"/>
        <v>0.63641377051875003</v>
      </c>
    </row>
    <row r="234" spans="1:15" s="236" customFormat="1" x14ac:dyDescent="0.2">
      <c r="A234" s="237" t="str">
        <f>name!E$8</f>
        <v>Skilled trades occupations</v>
      </c>
      <c r="B234" s="302">
        <v>0.50966976122724084</v>
      </c>
      <c r="C234" s="302">
        <v>9.3094013646526884E-3</v>
      </c>
      <c r="D234" s="302">
        <v>0.1685746444289706</v>
      </c>
      <c r="E234" s="302">
        <f t="shared" si="112"/>
        <v>0.68755380702086411</v>
      </c>
      <c r="F234" s="303"/>
      <c r="G234" s="302">
        <v>0.57871786468550179</v>
      </c>
      <c r="H234" s="302">
        <v>1.9805130164178911E-2</v>
      </c>
      <c r="I234" s="302">
        <v>0.1084428844093024</v>
      </c>
      <c r="J234" s="302">
        <f>SUM(G234:I234)</f>
        <v>0.70696587925898313</v>
      </c>
      <c r="K234" s="303"/>
      <c r="L234" s="302">
        <v>0.46140105121007313</v>
      </c>
      <c r="M234" s="302">
        <v>2.7157096362274338E-2</v>
      </c>
      <c r="N234" s="302">
        <v>9.914803850338566E-2</v>
      </c>
      <c r="O234" s="302">
        <f t="shared" si="114"/>
        <v>0.58770618607573311</v>
      </c>
    </row>
    <row r="235" spans="1:15" s="236" customFormat="1" x14ac:dyDescent="0.2">
      <c r="A235" s="237" t="str">
        <f>name!E$9</f>
        <v>Caring, leisure and other service occupations</v>
      </c>
      <c r="B235" s="302">
        <v>4.017687637994026E-2</v>
      </c>
      <c r="C235" s="302">
        <v>8.4060422306208877E-3</v>
      </c>
      <c r="D235" s="302">
        <v>6.5523597704938881E-3</v>
      </c>
      <c r="E235" s="302">
        <f t="shared" si="112"/>
        <v>5.5135278381055031E-2</v>
      </c>
      <c r="F235" s="303"/>
      <c r="G235" s="302">
        <v>5.6669128380880507E-2</v>
      </c>
      <c r="H235" s="302">
        <v>1.6223511658176787E-2</v>
      </c>
      <c r="I235" s="302">
        <v>3.2888582385756308E-2</v>
      </c>
      <c r="J235" s="302">
        <f t="shared" ref="J235:J238" si="115">SUM(G235:I235)</f>
        <v>0.10578122242481361</v>
      </c>
      <c r="K235" s="303"/>
      <c r="L235" s="302">
        <v>6.9266913162423047E-2</v>
      </c>
      <c r="M235" s="302">
        <v>1.3186228603668365E-2</v>
      </c>
      <c r="N235" s="302">
        <v>4.3339525464205463E-2</v>
      </c>
      <c r="O235" s="302">
        <f t="shared" si="114"/>
        <v>0.12579266723029686</v>
      </c>
    </row>
    <row r="236" spans="1:15" s="236" customFormat="1" x14ac:dyDescent="0.2">
      <c r="A236" s="237" t="str">
        <f>name!E$10</f>
        <v>Sales and customer service occupations</v>
      </c>
      <c r="B236" s="302">
        <v>0.11585743479914376</v>
      </c>
      <c r="C236" s="302">
        <v>1.0842438783268406E-2</v>
      </c>
      <c r="D236" s="302">
        <v>1.2415150726277987E-2</v>
      </c>
      <c r="E236" s="302">
        <f t="shared" si="112"/>
        <v>0.13911502430869016</v>
      </c>
      <c r="F236" s="303"/>
      <c r="G236" s="302">
        <v>0.15183626519984994</v>
      </c>
      <c r="H236" s="302">
        <v>2.4281348366276413E-2</v>
      </c>
      <c r="I236" s="302">
        <v>1.0191257140696209E-2</v>
      </c>
      <c r="J236" s="302">
        <f t="shared" si="115"/>
        <v>0.18630887070682256</v>
      </c>
      <c r="K236" s="303"/>
      <c r="L236" s="302">
        <v>0.14580729147333374</v>
      </c>
      <c r="M236" s="302">
        <v>2.8343856311182598E-2</v>
      </c>
      <c r="N236" s="302">
        <v>1.0155808366124825E-2</v>
      </c>
      <c r="O236" s="302">
        <f t="shared" si="114"/>
        <v>0.18430695615064116</v>
      </c>
    </row>
    <row r="237" spans="1:15" s="236" customFormat="1" x14ac:dyDescent="0.2">
      <c r="A237" s="237" t="str">
        <f>name!E$11</f>
        <v>Process, plant and machine operatives</v>
      </c>
      <c r="B237" s="302">
        <v>1.1365237636063195</v>
      </c>
      <c r="C237" s="302">
        <v>1.2419240931234549E-2</v>
      </c>
      <c r="D237" s="302">
        <v>4.6192460830706966E-2</v>
      </c>
      <c r="E237" s="302">
        <f t="shared" si="112"/>
        <v>1.1951354653682609</v>
      </c>
      <c r="F237" s="303"/>
      <c r="G237" s="302">
        <v>1.2237182391118355</v>
      </c>
      <c r="H237" s="302">
        <v>3.0710588049758049E-2</v>
      </c>
      <c r="I237" s="302">
        <v>3.0447843920076958E-2</v>
      </c>
      <c r="J237" s="302">
        <f t="shared" si="115"/>
        <v>1.2848766710816706</v>
      </c>
      <c r="K237" s="303"/>
      <c r="L237" s="302">
        <v>1.1693844960504309</v>
      </c>
      <c r="M237" s="302">
        <v>3.8985786024342738E-2</v>
      </c>
      <c r="N237" s="302">
        <v>3.3669991257198051E-2</v>
      </c>
      <c r="O237" s="302">
        <f t="shared" si="114"/>
        <v>1.2420402733319718</v>
      </c>
    </row>
    <row r="238" spans="1:15" s="236" customFormat="1" x14ac:dyDescent="0.2">
      <c r="A238" s="237" t="str">
        <f>name!E$12</f>
        <v>Elementary occupations</v>
      </c>
      <c r="B238" s="302">
        <v>0.15877098570434278</v>
      </c>
      <c r="C238" s="302">
        <v>3.2717777801342912E-2</v>
      </c>
      <c r="D238" s="302">
        <v>1.2581748281956653E-2</v>
      </c>
      <c r="E238" s="302">
        <f t="shared" si="112"/>
        <v>0.20407051178764235</v>
      </c>
      <c r="F238" s="303"/>
      <c r="G238" s="302">
        <v>0.16778082824640431</v>
      </c>
      <c r="H238" s="302">
        <v>5.9854150421173917E-2</v>
      </c>
      <c r="I238" s="302">
        <v>1.5943478927460293E-2</v>
      </c>
      <c r="J238" s="302">
        <f t="shared" si="115"/>
        <v>0.24357845759503852</v>
      </c>
      <c r="K238" s="303"/>
      <c r="L238" s="302">
        <v>9.8693853631157596E-2</v>
      </c>
      <c r="M238" s="302">
        <v>5.1320087262866444E-2</v>
      </c>
      <c r="N238" s="302">
        <v>1.2695409726264808E-2</v>
      </c>
      <c r="O238" s="302">
        <f t="shared" si="114"/>
        <v>0.16270935062028885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32</v>
      </c>
      <c r="B240" s="311">
        <f>SUM(B230:B238)</f>
        <v>3.3849999999942235</v>
      </c>
      <c r="C240" s="311">
        <f t="shared" ref="C240:E240" si="116">SUM(C230:C238)</f>
        <v>0.17799999999902666</v>
      </c>
      <c r="D240" s="311">
        <f t="shared" si="116"/>
        <v>0.34899999999765835</v>
      </c>
      <c r="E240" s="311">
        <f t="shared" si="116"/>
        <v>3.9119999999909085</v>
      </c>
      <c r="F240" s="311"/>
      <c r="G240" s="311">
        <f t="shared" ref="G240:J240" si="117">SUM(G230:G238)</f>
        <v>4.3310000000168829</v>
      </c>
      <c r="H240" s="311">
        <f t="shared" si="117"/>
        <v>0.40300000000784797</v>
      </c>
      <c r="I240" s="311">
        <f t="shared" si="117"/>
        <v>0.30699999999655547</v>
      </c>
      <c r="J240" s="311">
        <f t="shared" si="117"/>
        <v>5.0410000000212865</v>
      </c>
      <c r="K240" s="311"/>
      <c r="L240" s="311">
        <f t="shared" ref="L240:O240" si="118">SUM(L230:L238)</f>
        <v>3.8790000000344356</v>
      </c>
      <c r="M240" s="311">
        <f t="shared" si="118"/>
        <v>0.38999999999491386</v>
      </c>
      <c r="N240" s="311">
        <f t="shared" si="118"/>
        <v>0.30700000000335004</v>
      </c>
      <c r="O240" s="311">
        <f t="shared" si="118"/>
        <v>4.5760000000326997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name!A17</f>
        <v>Basic metals</v>
      </c>
      <c r="B244" s="374">
        <f>$B$6</f>
        <v>2015</v>
      </c>
      <c r="C244" s="374"/>
      <c r="D244" s="374"/>
      <c r="E244" s="374"/>
      <c r="F244" s="263"/>
      <c r="G244" s="374">
        <f>$G$6</f>
        <v>2020</v>
      </c>
      <c r="H244" s="374"/>
      <c r="I244" s="374"/>
      <c r="J244" s="374"/>
      <c r="K244" s="263"/>
      <c r="L244" s="374">
        <f>$L$6</f>
        <v>2035</v>
      </c>
      <c r="M244" s="374"/>
      <c r="N244" s="374"/>
      <c r="O244" s="374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0.23183850305196307</v>
      </c>
      <c r="C247" s="302">
        <v>1.1750459305781454E-2</v>
      </c>
      <c r="D247" s="302">
        <v>2.4455910828497563E-2</v>
      </c>
      <c r="E247" s="302">
        <f>SUM(B247:D247)</f>
        <v>0.26804487318624209</v>
      </c>
      <c r="F247" s="303"/>
      <c r="G247" s="302">
        <v>0.29907586705087386</v>
      </c>
      <c r="H247" s="302">
        <v>1.1544360794395286E-2</v>
      </c>
      <c r="I247" s="302">
        <v>2.4649040508555053E-2</v>
      </c>
      <c r="J247" s="302">
        <f>SUM(G247:I247)</f>
        <v>0.3352692683538242</v>
      </c>
      <c r="K247" s="303"/>
      <c r="L247" s="302">
        <v>0.24691139899848366</v>
      </c>
      <c r="M247" s="302">
        <v>9.7769328110904573E-3</v>
      </c>
      <c r="N247" s="302">
        <v>2.052201790052725E-2</v>
      </c>
      <c r="O247" s="302">
        <f>SUM(L247:N247)</f>
        <v>0.27721034971010139</v>
      </c>
    </row>
    <row r="248" spans="1:15" s="236" customFormat="1" x14ac:dyDescent="0.2">
      <c r="A248" s="237" t="str">
        <f>name!E$5</f>
        <v>Professional occupations</v>
      </c>
      <c r="B248" s="302">
        <v>0.3818446198433722</v>
      </c>
      <c r="C248" s="302">
        <v>7.8047230650694433E-3</v>
      </c>
      <c r="D248" s="302">
        <v>1.2759944657388292E-2</v>
      </c>
      <c r="E248" s="302">
        <f t="shared" ref="E248:E255" si="119">SUM(B248:D248)</f>
        <v>0.40240928756582994</v>
      </c>
      <c r="F248" s="303"/>
      <c r="G248" s="302">
        <v>0.55033882450019755</v>
      </c>
      <c r="H248" s="302">
        <v>7.9069206345859927E-3</v>
      </c>
      <c r="I248" s="302">
        <v>2.7624803875523764E-2</v>
      </c>
      <c r="J248" s="302">
        <f t="shared" ref="J248:J250" si="120">SUM(G248:I248)</f>
        <v>0.58587054901030733</v>
      </c>
      <c r="K248" s="303"/>
      <c r="L248" s="302">
        <v>0.53237209222822746</v>
      </c>
      <c r="M248" s="302">
        <v>6.2618260353592145E-3</v>
      </c>
      <c r="N248" s="302">
        <v>2.0887801799611704E-2</v>
      </c>
      <c r="O248" s="302">
        <f t="shared" ref="O248:O255" si="121">SUM(L248:N248)</f>
        <v>0.55952172006319834</v>
      </c>
    </row>
    <row r="249" spans="1:15" s="236" customFormat="1" x14ac:dyDescent="0.2">
      <c r="A249" s="237" t="str">
        <f>name!E$6</f>
        <v>Associate professional occupations</v>
      </c>
      <c r="B249" s="302">
        <v>0.29163214150970701</v>
      </c>
      <c r="C249" s="302">
        <v>7.4897194820613194E-3</v>
      </c>
      <c r="D249" s="302">
        <v>9.2875599450408484E-3</v>
      </c>
      <c r="E249" s="302">
        <f t="shared" si="119"/>
        <v>0.30840942093680918</v>
      </c>
      <c r="F249" s="303"/>
      <c r="G249" s="302">
        <v>0.40358696885000983</v>
      </c>
      <c r="H249" s="302">
        <v>6.8251536067278689E-3</v>
      </c>
      <c r="I249" s="302">
        <v>1.3014764808749482E-2</v>
      </c>
      <c r="J249" s="302">
        <f t="shared" si="120"/>
        <v>0.42342688726548716</v>
      </c>
      <c r="K249" s="303"/>
      <c r="L249" s="302">
        <v>0.31138787972945842</v>
      </c>
      <c r="M249" s="302">
        <v>4.4037377341804044E-3</v>
      </c>
      <c r="N249" s="302">
        <v>1.2405304293174539E-2</v>
      </c>
      <c r="O249" s="302">
        <f t="shared" si="121"/>
        <v>0.32819692175681336</v>
      </c>
    </row>
    <row r="250" spans="1:15" s="236" customFormat="1" x14ac:dyDescent="0.2">
      <c r="A250" s="237" t="str">
        <f>name!E$7</f>
        <v>Administrative and secretarial occupations</v>
      </c>
      <c r="B250" s="302">
        <v>0.11570962347012635</v>
      </c>
      <c r="C250" s="302">
        <v>1.5711855741457753E-2</v>
      </c>
      <c r="D250" s="302">
        <v>1.9514119722588857E-3</v>
      </c>
      <c r="E250" s="302">
        <f t="shared" si="119"/>
        <v>0.13337289118384299</v>
      </c>
      <c r="F250" s="303"/>
      <c r="G250" s="302">
        <v>0.14669805783893644</v>
      </c>
      <c r="H250" s="302">
        <v>1.1020916443401989E-2</v>
      </c>
      <c r="I250" s="302">
        <v>3.6623036874071048E-3</v>
      </c>
      <c r="J250" s="302">
        <f t="shared" si="120"/>
        <v>0.16138127796974555</v>
      </c>
      <c r="K250" s="303"/>
      <c r="L250" s="302">
        <v>0.11969182683413065</v>
      </c>
      <c r="M250" s="302">
        <v>6.9798828886694477E-3</v>
      </c>
      <c r="N250" s="302">
        <v>2.6222156083424105E-3</v>
      </c>
      <c r="O250" s="302">
        <f t="shared" si="121"/>
        <v>0.12929392533114251</v>
      </c>
    </row>
    <row r="251" spans="1:15" s="236" customFormat="1" x14ac:dyDescent="0.2">
      <c r="A251" s="237" t="str">
        <f>name!E$8</f>
        <v>Skilled trades occupations</v>
      </c>
      <c r="B251" s="302">
        <v>0.52031017581810668</v>
      </c>
      <c r="C251" s="302">
        <v>2.6166976222236737E-2</v>
      </c>
      <c r="D251" s="302">
        <v>3.1448823694410086E-2</v>
      </c>
      <c r="E251" s="302">
        <f t="shared" si="119"/>
        <v>0.57792597573475346</v>
      </c>
      <c r="F251" s="303"/>
      <c r="G251" s="302">
        <v>0.49818476727368055</v>
      </c>
      <c r="H251" s="302">
        <v>1.4038072838095239E-2</v>
      </c>
      <c r="I251" s="302">
        <v>1.3850448289434049E-2</v>
      </c>
      <c r="J251" s="302">
        <f>SUM(G251:I251)</f>
        <v>0.52607328840120982</v>
      </c>
      <c r="K251" s="303"/>
      <c r="L251" s="302">
        <v>0.30812369309844506</v>
      </c>
      <c r="M251" s="302">
        <v>1.5010306229565546E-2</v>
      </c>
      <c r="N251" s="302">
        <v>1.4709949496860528E-2</v>
      </c>
      <c r="O251" s="302">
        <f t="shared" si="121"/>
        <v>0.33784394882487118</v>
      </c>
    </row>
    <row r="252" spans="1:15" s="236" customFormat="1" x14ac:dyDescent="0.2">
      <c r="A252" s="237" t="str">
        <f>name!E$9</f>
        <v>Caring, leisure and other service occupations</v>
      </c>
      <c r="B252" s="302">
        <v>1.5763167812641685E-2</v>
      </c>
      <c r="C252" s="302">
        <v>1.2020685085653105E-3</v>
      </c>
      <c r="D252" s="302">
        <v>7.9463729995121702E-4</v>
      </c>
      <c r="E252" s="302">
        <f t="shared" si="119"/>
        <v>1.7759873621158214E-2</v>
      </c>
      <c r="F252" s="303"/>
      <c r="G252" s="302">
        <v>1.9425179112986447E-2</v>
      </c>
      <c r="H252" s="302">
        <v>9.6590639827823265E-4</v>
      </c>
      <c r="I252" s="302">
        <v>5.0587744097841669E-3</v>
      </c>
      <c r="J252" s="302">
        <f t="shared" ref="J252:J255" si="122">SUM(G252:I252)</f>
        <v>2.5449859921048847E-2</v>
      </c>
      <c r="K252" s="303"/>
      <c r="L252" s="302">
        <v>1.83316591998441E-2</v>
      </c>
      <c r="M252" s="302">
        <v>4.192929520520729E-4</v>
      </c>
      <c r="N252" s="302">
        <v>4.1372618333502895E-3</v>
      </c>
      <c r="O252" s="302">
        <f t="shared" si="121"/>
        <v>2.2888213985246465E-2</v>
      </c>
    </row>
    <row r="253" spans="1:15" s="236" customFormat="1" x14ac:dyDescent="0.2">
      <c r="A253" s="237" t="str">
        <f>name!E$10</f>
        <v>Sales and customer service occupations</v>
      </c>
      <c r="B253" s="302">
        <v>2.9197133358383483E-2</v>
      </c>
      <c r="C253" s="302">
        <v>4.6407224820787423E-3</v>
      </c>
      <c r="D253" s="302">
        <v>2.5737668437899488E-3</v>
      </c>
      <c r="E253" s="302">
        <f t="shared" si="119"/>
        <v>3.6411622684252173E-2</v>
      </c>
      <c r="F253" s="303"/>
      <c r="G253" s="302">
        <v>3.3184970431823432E-2</v>
      </c>
      <c r="H253" s="302">
        <v>3.0193777618754327E-3</v>
      </c>
      <c r="I253" s="302">
        <v>2.0728003579830244E-3</v>
      </c>
      <c r="J253" s="302">
        <f t="shared" si="122"/>
        <v>3.8277148551681892E-2</v>
      </c>
      <c r="K253" s="303"/>
      <c r="L253" s="302">
        <v>3.5689352883743662E-2</v>
      </c>
      <c r="M253" s="302">
        <v>2.6266021263946491E-3</v>
      </c>
      <c r="N253" s="302">
        <v>1.7339186867068785E-3</v>
      </c>
      <c r="O253" s="302">
        <f t="shared" si="121"/>
        <v>4.0049873696845192E-2</v>
      </c>
    </row>
    <row r="254" spans="1:15" s="236" customFormat="1" x14ac:dyDescent="0.2">
      <c r="A254" s="237" t="str">
        <f>name!E$11</f>
        <v>Process, plant and machine operatives</v>
      </c>
      <c r="B254" s="302">
        <v>0.5251978865939142</v>
      </c>
      <c r="C254" s="302">
        <v>1.265078406314565E-2</v>
      </c>
      <c r="D254" s="302">
        <v>2.3452975447548936E-2</v>
      </c>
      <c r="E254" s="302">
        <f t="shared" si="119"/>
        <v>0.56130164610460886</v>
      </c>
      <c r="F254" s="303"/>
      <c r="G254" s="302">
        <v>0.47930322254834529</v>
      </c>
      <c r="H254" s="302">
        <v>6.9850301742361764E-3</v>
      </c>
      <c r="I254" s="302">
        <v>1.5020767260067437E-2</v>
      </c>
      <c r="J254" s="302">
        <f t="shared" si="122"/>
        <v>0.50130901998264887</v>
      </c>
      <c r="K254" s="303"/>
      <c r="L254" s="302">
        <v>0.43555565195582968</v>
      </c>
      <c r="M254" s="302">
        <v>6.0606431582611812E-3</v>
      </c>
      <c r="N254" s="302">
        <v>1.6314278823561928E-2</v>
      </c>
      <c r="O254" s="302">
        <f t="shared" si="121"/>
        <v>0.4579305739376528</v>
      </c>
    </row>
    <row r="255" spans="1:15" s="236" customFormat="1" x14ac:dyDescent="0.2">
      <c r="A255" s="237" t="str">
        <f>name!E$12</f>
        <v>Elementary occupations</v>
      </c>
      <c r="B255" s="302">
        <v>6.4506748540652567E-2</v>
      </c>
      <c r="C255" s="302">
        <v>4.5826911296591331E-3</v>
      </c>
      <c r="D255" s="302">
        <v>4.727496930970447E-2</v>
      </c>
      <c r="E255" s="302">
        <f t="shared" si="119"/>
        <v>0.11636440898001617</v>
      </c>
      <c r="F255" s="303"/>
      <c r="G255" s="302">
        <v>5.8202142396739188E-2</v>
      </c>
      <c r="H255" s="302">
        <v>2.6942613486688571E-3</v>
      </c>
      <c r="I255" s="302">
        <v>2.3046296802046826E-2</v>
      </c>
      <c r="J255" s="302">
        <f t="shared" si="122"/>
        <v>8.3942700547454868E-2</v>
      </c>
      <c r="K255" s="303"/>
      <c r="L255" s="302">
        <v>3.3936445085450358E-2</v>
      </c>
      <c r="M255" s="302">
        <v>1.4607760643841668E-3</v>
      </c>
      <c r="N255" s="302">
        <v>2.5667251557087902E-2</v>
      </c>
      <c r="O255" s="302">
        <f t="shared" si="121"/>
        <v>6.1064472706922432E-2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32</v>
      </c>
      <c r="B257" s="311">
        <f>SUM(B247:B255)</f>
        <v>2.1759999999988673</v>
      </c>
      <c r="C257" s="311">
        <f t="shared" ref="C257:E257" si="123">SUM(C247:C255)</f>
        <v>9.2000000000055551E-2</v>
      </c>
      <c r="D257" s="311">
        <f t="shared" si="123"/>
        <v>0.15399999999859026</v>
      </c>
      <c r="E257" s="311">
        <f t="shared" si="123"/>
        <v>2.4219999999975128</v>
      </c>
      <c r="F257" s="311"/>
      <c r="G257" s="311">
        <f t="shared" ref="G257:J257" si="124">SUM(G247:G255)</f>
        <v>2.4880000000035927</v>
      </c>
      <c r="H257" s="311">
        <f t="shared" si="124"/>
        <v>6.5000000000265082E-2</v>
      </c>
      <c r="I257" s="311">
        <f t="shared" si="124"/>
        <v>0.12799999999955092</v>
      </c>
      <c r="J257" s="311">
        <f t="shared" si="124"/>
        <v>2.681000000003408</v>
      </c>
      <c r="K257" s="311"/>
      <c r="L257" s="311">
        <f t="shared" ref="L257:O257" si="125">SUM(L247:L255)</f>
        <v>2.0420000000136134</v>
      </c>
      <c r="M257" s="311">
        <f t="shared" si="125"/>
        <v>5.2999999999957137E-2</v>
      </c>
      <c r="N257" s="311">
        <f t="shared" si="125"/>
        <v>0.11899999999922344</v>
      </c>
      <c r="O257" s="311">
        <f t="shared" si="125"/>
        <v>2.2140000000127937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name!A18</f>
        <v>Metal products</v>
      </c>
      <c r="B261" s="374">
        <f>$B$6</f>
        <v>2015</v>
      </c>
      <c r="C261" s="374"/>
      <c r="D261" s="374"/>
      <c r="E261" s="374"/>
      <c r="F261" s="263"/>
      <c r="G261" s="374">
        <f>$G$6</f>
        <v>2020</v>
      </c>
      <c r="H261" s="374"/>
      <c r="I261" s="374"/>
      <c r="J261" s="374"/>
      <c r="K261" s="263"/>
      <c r="L261" s="374">
        <f>$L$6</f>
        <v>2035</v>
      </c>
      <c r="M261" s="374"/>
      <c r="N261" s="374"/>
      <c r="O261" s="374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2.4555350386695216</v>
      </c>
      <c r="C264" s="302">
        <v>0.30516209117743037</v>
      </c>
      <c r="D264" s="302">
        <v>0.37661711813577448</v>
      </c>
      <c r="E264" s="302">
        <f>SUM(B264:D264)</f>
        <v>3.1373142479827263</v>
      </c>
      <c r="F264" s="303"/>
      <c r="G264" s="302">
        <v>2.9907584365813769</v>
      </c>
      <c r="H264" s="302">
        <v>0.34435406460645146</v>
      </c>
      <c r="I264" s="302">
        <v>0.56378453276338192</v>
      </c>
      <c r="J264" s="302">
        <f>SUM(G264:I264)</f>
        <v>3.8988970339512101</v>
      </c>
      <c r="K264" s="303"/>
      <c r="L264" s="302">
        <v>2.6295602643734139</v>
      </c>
      <c r="M264" s="302">
        <v>0.33419360975969575</v>
      </c>
      <c r="N264" s="302">
        <v>0.44993195114384332</v>
      </c>
      <c r="O264" s="302">
        <f>SUM(L264:N264)</f>
        <v>3.4136858252769526</v>
      </c>
    </row>
    <row r="265" spans="1:15" s="236" customFormat="1" x14ac:dyDescent="0.2">
      <c r="A265" s="237" t="str">
        <f>name!E$5</f>
        <v>Professional occupations</v>
      </c>
      <c r="B265" s="302">
        <v>2.428523026967579</v>
      </c>
      <c r="C265" s="302">
        <v>0.15830121221089105</v>
      </c>
      <c r="D265" s="302">
        <v>0.17561930894814609</v>
      </c>
      <c r="E265" s="302">
        <f t="shared" ref="E265:E272" si="126">SUM(B265:D265)</f>
        <v>2.7624435481266159</v>
      </c>
      <c r="F265" s="303"/>
      <c r="G265" s="302">
        <v>3.3084269498103884</v>
      </c>
      <c r="H265" s="302">
        <v>0.17169254168061365</v>
      </c>
      <c r="I265" s="302">
        <v>0.20163253159360078</v>
      </c>
      <c r="J265" s="302">
        <f t="shared" ref="J265:J267" si="127">SUM(G265:I265)</f>
        <v>3.6817520230846026</v>
      </c>
      <c r="K265" s="303"/>
      <c r="L265" s="302">
        <v>3.296765424565514</v>
      </c>
      <c r="M265" s="302">
        <v>0.13840367567542114</v>
      </c>
      <c r="N265" s="302">
        <v>0.11216969007093375</v>
      </c>
      <c r="O265" s="302">
        <f t="shared" ref="O265:O272" si="128">SUM(L265:N265)</f>
        <v>3.5473387903118692</v>
      </c>
    </row>
    <row r="266" spans="1:15" s="236" customFormat="1" x14ac:dyDescent="0.2">
      <c r="A266" s="237" t="str">
        <f>name!E$6</f>
        <v>Associate professional occupations</v>
      </c>
      <c r="B266" s="302">
        <v>2.3133161437945464</v>
      </c>
      <c r="C266" s="302">
        <v>0.19343883540920426</v>
      </c>
      <c r="D266" s="302">
        <v>7.2686466317382986E-2</v>
      </c>
      <c r="E266" s="302">
        <f t="shared" si="126"/>
        <v>2.5794414455211339</v>
      </c>
      <c r="F266" s="303"/>
      <c r="G266" s="302">
        <v>2.9224921116778853</v>
      </c>
      <c r="H266" s="302">
        <v>0.19387250053685534</v>
      </c>
      <c r="I266" s="302">
        <v>8.8540266881252438E-2</v>
      </c>
      <c r="J266" s="302">
        <f t="shared" si="127"/>
        <v>3.2049048790959929</v>
      </c>
      <c r="K266" s="303"/>
      <c r="L266" s="302">
        <v>2.3443695452157476</v>
      </c>
      <c r="M266" s="302">
        <v>0.12525859892672531</v>
      </c>
      <c r="N266" s="302">
        <v>6.4995263764732095E-2</v>
      </c>
      <c r="O266" s="302">
        <f t="shared" si="128"/>
        <v>2.5346234079072048</v>
      </c>
    </row>
    <row r="267" spans="1:15" s="236" customFormat="1" x14ac:dyDescent="0.2">
      <c r="A267" s="237" t="str">
        <f>name!E$7</f>
        <v>Administrative and secretarial occupations</v>
      </c>
      <c r="B267" s="302">
        <v>1.0042578423837725</v>
      </c>
      <c r="C267" s="302">
        <v>0.50328223823563101</v>
      </c>
      <c r="D267" s="302">
        <v>3.8956820358417195E-2</v>
      </c>
      <c r="E267" s="302">
        <f t="shared" si="126"/>
        <v>1.5464969009778207</v>
      </c>
      <c r="F267" s="303"/>
      <c r="G267" s="302">
        <v>1.1491984251412188</v>
      </c>
      <c r="H267" s="302">
        <v>0.37419966332549642</v>
      </c>
      <c r="I267" s="302">
        <v>0.12681022612475823</v>
      </c>
      <c r="J267" s="302">
        <f t="shared" si="127"/>
        <v>1.6502083145914734</v>
      </c>
      <c r="K267" s="303"/>
      <c r="L267" s="302">
        <v>0.89472147948891734</v>
      </c>
      <c r="M267" s="302">
        <v>0.19794985714865559</v>
      </c>
      <c r="N267" s="302">
        <v>7.4453918555498183E-2</v>
      </c>
      <c r="O267" s="302">
        <f t="shared" si="128"/>
        <v>1.1671252551930711</v>
      </c>
    </row>
    <row r="268" spans="1:15" s="236" customFormat="1" x14ac:dyDescent="0.2">
      <c r="A268" s="237" t="str">
        <f>name!E$8</f>
        <v>Skilled trades occupations</v>
      </c>
      <c r="B268" s="302">
        <v>8.4776303053885549</v>
      </c>
      <c r="C268" s="302">
        <v>0.5545777913007145</v>
      </c>
      <c r="D268" s="302">
        <v>0.67467993194153864</v>
      </c>
      <c r="E268" s="302">
        <f t="shared" si="126"/>
        <v>9.7068880286308072</v>
      </c>
      <c r="F268" s="303"/>
      <c r="G268" s="302">
        <v>7.5949928387616481</v>
      </c>
      <c r="H268" s="302">
        <v>0.35023780381515895</v>
      </c>
      <c r="I268" s="302">
        <v>0.52562747234484064</v>
      </c>
      <c r="J268" s="302">
        <f>SUM(G268:I268)</f>
        <v>8.4708581149216471</v>
      </c>
      <c r="K268" s="303"/>
      <c r="L268" s="302">
        <v>5.5198687269977027</v>
      </c>
      <c r="M268" s="302">
        <v>0.34127365935546206</v>
      </c>
      <c r="N268" s="302">
        <v>0.44663976100364228</v>
      </c>
      <c r="O268" s="302">
        <f t="shared" si="128"/>
        <v>6.3077821473568072</v>
      </c>
    </row>
    <row r="269" spans="1:15" s="236" customFormat="1" x14ac:dyDescent="0.2">
      <c r="A269" s="237" t="str">
        <f>name!E$9</f>
        <v>Caring, leisure and other service occupations</v>
      </c>
      <c r="B269" s="302">
        <v>0.15832882398076553</v>
      </c>
      <c r="C269" s="302">
        <v>2.5115916205879791E-2</v>
      </c>
      <c r="D269" s="302">
        <v>1.0307880155256034E-2</v>
      </c>
      <c r="E269" s="302">
        <f t="shared" si="126"/>
        <v>0.19375262034190135</v>
      </c>
      <c r="F269" s="303"/>
      <c r="G269" s="302">
        <v>0.18729469069649984</v>
      </c>
      <c r="H269" s="302">
        <v>2.2121675096660989E-2</v>
      </c>
      <c r="I269" s="302">
        <v>4.347609481846848E-2</v>
      </c>
      <c r="J269" s="302">
        <f t="shared" ref="J269:J272" si="129">SUM(G269:I269)</f>
        <v>0.25289246061162929</v>
      </c>
      <c r="K269" s="303"/>
      <c r="L269" s="302">
        <v>0.23740825671133212</v>
      </c>
      <c r="M269" s="302">
        <v>1.569378119989261E-2</v>
      </c>
      <c r="N269" s="302">
        <v>5.3800688062794137E-2</v>
      </c>
      <c r="O269" s="302">
        <f t="shared" si="128"/>
        <v>0.30690272597401885</v>
      </c>
    </row>
    <row r="270" spans="1:15" s="236" customFormat="1" x14ac:dyDescent="0.2">
      <c r="A270" s="237" t="str">
        <f>name!E$10</f>
        <v>Sales and customer service occupations</v>
      </c>
      <c r="B270" s="302">
        <v>0.28908996065397924</v>
      </c>
      <c r="C270" s="302">
        <v>8.5169293535160645E-2</v>
      </c>
      <c r="D270" s="302">
        <v>3.5941115912633242E-2</v>
      </c>
      <c r="E270" s="302">
        <f t="shared" si="126"/>
        <v>0.41020037010177313</v>
      </c>
      <c r="F270" s="303"/>
      <c r="G270" s="302">
        <v>0.30144097254640362</v>
      </c>
      <c r="H270" s="302">
        <v>6.6926736191822309E-2</v>
      </c>
      <c r="I270" s="302">
        <v>4.7214108872488024E-2</v>
      </c>
      <c r="J270" s="302">
        <f t="shared" si="129"/>
        <v>0.41558181761071394</v>
      </c>
      <c r="K270" s="303"/>
      <c r="L270" s="302">
        <v>0.29599465412492543</v>
      </c>
      <c r="M270" s="302">
        <v>6.825208818587504E-2</v>
      </c>
      <c r="N270" s="302">
        <v>3.9883542175263555E-2</v>
      </c>
      <c r="O270" s="302">
        <f t="shared" si="128"/>
        <v>0.40413028448606403</v>
      </c>
    </row>
    <row r="271" spans="1:15" s="236" customFormat="1" x14ac:dyDescent="0.2">
      <c r="A271" s="237" t="str">
        <f>name!E$11</f>
        <v>Process, plant and machine operatives</v>
      </c>
      <c r="B271" s="302">
        <v>3.2151934567828704</v>
      </c>
      <c r="C271" s="302">
        <v>0.40032135426626919</v>
      </c>
      <c r="D271" s="302">
        <v>8.6512421638106476E-2</v>
      </c>
      <c r="E271" s="302">
        <f t="shared" si="126"/>
        <v>3.7020272326872461</v>
      </c>
      <c r="F271" s="303"/>
      <c r="G271" s="302">
        <v>2.6894761348354415</v>
      </c>
      <c r="H271" s="302">
        <v>0.28421079915431541</v>
      </c>
      <c r="I271" s="302">
        <v>9.3779555420815189E-2</v>
      </c>
      <c r="J271" s="302">
        <f t="shared" si="129"/>
        <v>3.0674664894105721</v>
      </c>
      <c r="K271" s="303"/>
      <c r="L271" s="302">
        <v>2.4256979271528172</v>
      </c>
      <c r="M271" s="302">
        <v>0.30714988217801881</v>
      </c>
      <c r="N271" s="302">
        <v>8.7065090453787908E-2</v>
      </c>
      <c r="O271" s="302">
        <f t="shared" si="128"/>
        <v>2.8199128997846241</v>
      </c>
    </row>
    <row r="272" spans="1:15" s="236" customFormat="1" x14ac:dyDescent="0.2">
      <c r="A272" s="237" t="str">
        <f>name!E$12</f>
        <v>Elementary occupations</v>
      </c>
      <c r="B272" s="302">
        <v>0.73612540135186622</v>
      </c>
      <c r="C272" s="302">
        <v>0.17363126766233178</v>
      </c>
      <c r="D272" s="302">
        <v>2.6678936589100002E-2</v>
      </c>
      <c r="E272" s="302">
        <f t="shared" si="126"/>
        <v>0.93643560560329808</v>
      </c>
      <c r="F272" s="303"/>
      <c r="G272" s="302">
        <v>0.61391943999046861</v>
      </c>
      <c r="H272" s="302">
        <v>0.11238421561425969</v>
      </c>
      <c r="I272" s="302">
        <v>4.2135211171091515E-2</v>
      </c>
      <c r="J272" s="302">
        <f t="shared" si="129"/>
        <v>0.76843886677581985</v>
      </c>
      <c r="K272" s="303"/>
      <c r="L272" s="302">
        <v>0.33261372152956847</v>
      </c>
      <c r="M272" s="302">
        <v>6.1824847570069029E-2</v>
      </c>
      <c r="N272" s="302">
        <v>3.4060094763434537E-2</v>
      </c>
      <c r="O272" s="302">
        <f t="shared" si="128"/>
        <v>0.428498663863072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32</v>
      </c>
      <c r="B274" s="311">
        <f>SUM(B264:B272)</f>
        <v>21.077999999973457</v>
      </c>
      <c r="C274" s="311">
        <f t="shared" ref="C274:E274" si="130">SUM(C264:C272)</f>
        <v>2.3990000000035128</v>
      </c>
      <c r="D274" s="311">
        <f t="shared" si="130"/>
        <v>1.4979999999963554</v>
      </c>
      <c r="E274" s="311">
        <f t="shared" si="130"/>
        <v>24.974999999973321</v>
      </c>
      <c r="F274" s="311"/>
      <c r="G274" s="311">
        <f t="shared" ref="G274:J274" si="131">SUM(G264:G272)</f>
        <v>21.758000000041328</v>
      </c>
      <c r="H274" s="311">
        <f t="shared" si="131"/>
        <v>1.9200000000216342</v>
      </c>
      <c r="I274" s="311">
        <f t="shared" si="131"/>
        <v>1.7329999999906971</v>
      </c>
      <c r="J274" s="311">
        <f t="shared" si="131"/>
        <v>25.411000000053665</v>
      </c>
      <c r="K274" s="311"/>
      <c r="L274" s="311">
        <f t="shared" ref="L274:O274" si="132">SUM(L264:L272)</f>
        <v>17.977000000159936</v>
      </c>
      <c r="M274" s="311">
        <f t="shared" si="132"/>
        <v>1.5899999999998153</v>
      </c>
      <c r="N274" s="311">
        <f t="shared" si="132"/>
        <v>1.3629999999939297</v>
      </c>
      <c r="O274" s="311">
        <f t="shared" si="132"/>
        <v>20.930000000153687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name!A19</f>
        <v>Computer, etc</v>
      </c>
      <c r="B278" s="374">
        <f>$B$6</f>
        <v>2015</v>
      </c>
      <c r="C278" s="374"/>
      <c r="D278" s="374"/>
      <c r="E278" s="374"/>
      <c r="F278" s="263"/>
      <c r="G278" s="374">
        <f>$G$6</f>
        <v>2020</v>
      </c>
      <c r="H278" s="374"/>
      <c r="I278" s="374"/>
      <c r="J278" s="374"/>
      <c r="K278" s="263"/>
      <c r="L278" s="374">
        <f>$L$6</f>
        <v>2035</v>
      </c>
      <c r="M278" s="374"/>
      <c r="N278" s="374"/>
      <c r="O278" s="374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1.8361578646632499</v>
      </c>
      <c r="C281" s="302">
        <v>8.4072080721151479E-2</v>
      </c>
      <c r="D281" s="302">
        <v>9.3322789087281019E-2</v>
      </c>
      <c r="E281" s="302">
        <f>SUM(B281:D281)</f>
        <v>2.0135527344716824</v>
      </c>
      <c r="F281" s="303"/>
      <c r="G281" s="302">
        <v>2.201225878480698</v>
      </c>
      <c r="H281" s="302">
        <v>7.797660989996387E-2</v>
      </c>
      <c r="I281" s="302">
        <v>0.15712260607382689</v>
      </c>
      <c r="J281" s="302">
        <f>SUM(G281:I281)</f>
        <v>2.4363250944544887</v>
      </c>
      <c r="K281" s="303"/>
      <c r="L281" s="302">
        <v>1.6291760871028265</v>
      </c>
      <c r="M281" s="302">
        <v>5.9690096063276944E-2</v>
      </c>
      <c r="N281" s="302">
        <v>6.8176351253334641E-2</v>
      </c>
      <c r="O281" s="302">
        <f>SUM(L281:N281)</f>
        <v>1.757042534419438</v>
      </c>
    </row>
    <row r="282" spans="1:15" s="236" customFormat="1" x14ac:dyDescent="0.2">
      <c r="A282" s="237" t="str">
        <f>name!E$5</f>
        <v>Professional occupations</v>
      </c>
      <c r="B282" s="302">
        <v>2.6457039819318711</v>
      </c>
      <c r="C282" s="302">
        <v>7.0684933862267346E-2</v>
      </c>
      <c r="D282" s="302">
        <v>0.38694800081185426</v>
      </c>
      <c r="E282" s="302">
        <f t="shared" ref="E282:E289" si="133">SUM(B282:D282)</f>
        <v>3.103336916605993</v>
      </c>
      <c r="F282" s="303"/>
      <c r="G282" s="302">
        <v>3.5118740603968437</v>
      </c>
      <c r="H282" s="302">
        <v>7.1766565012356176E-2</v>
      </c>
      <c r="I282" s="302">
        <v>0.39990531061652335</v>
      </c>
      <c r="J282" s="302">
        <f t="shared" ref="J282:J284" si="134">SUM(G282:I282)</f>
        <v>3.983545936025723</v>
      </c>
      <c r="K282" s="303"/>
      <c r="L282" s="302">
        <v>2.7866322657928269</v>
      </c>
      <c r="M282" s="302">
        <v>6.2365227496632626E-2</v>
      </c>
      <c r="N282" s="302">
        <v>0.35545132687097253</v>
      </c>
      <c r="O282" s="302">
        <f t="shared" ref="O282:O289" si="135">SUM(L282:N282)</f>
        <v>3.2044488201604318</v>
      </c>
    </row>
    <row r="283" spans="1:15" s="236" customFormat="1" x14ac:dyDescent="0.2">
      <c r="A283" s="237" t="str">
        <f>name!E$6</f>
        <v>Associate professional occupations</v>
      </c>
      <c r="B283" s="302">
        <v>1.4344086904800275</v>
      </c>
      <c r="C283" s="302">
        <v>0.11458841308902482</v>
      </c>
      <c r="D283" s="302">
        <v>0.10525178243772647</v>
      </c>
      <c r="E283" s="302">
        <f t="shared" si="133"/>
        <v>1.6542488860067788</v>
      </c>
      <c r="F283" s="303"/>
      <c r="G283" s="302">
        <v>1.8153546115750832</v>
      </c>
      <c r="H283" s="302">
        <v>0.11022977290496541</v>
      </c>
      <c r="I283" s="302">
        <v>0.21376136194731649</v>
      </c>
      <c r="J283" s="302">
        <f t="shared" si="134"/>
        <v>2.1393457464273653</v>
      </c>
      <c r="K283" s="303"/>
      <c r="L283" s="302">
        <v>1.1577771507786501</v>
      </c>
      <c r="M283" s="302">
        <v>9.4302896500163283E-2</v>
      </c>
      <c r="N283" s="302">
        <v>8.271431783680086E-2</v>
      </c>
      <c r="O283" s="302">
        <f t="shared" si="135"/>
        <v>1.3347943651156142</v>
      </c>
    </row>
    <row r="284" spans="1:15" s="236" customFormat="1" x14ac:dyDescent="0.2">
      <c r="A284" s="237" t="str">
        <f>name!E$7</f>
        <v>Administrative and secretarial occupations</v>
      </c>
      <c r="B284" s="302">
        <v>0.73082904689398431</v>
      </c>
      <c r="C284" s="302">
        <v>0.21511386870620786</v>
      </c>
      <c r="D284" s="302">
        <v>1.3720513298892685E-2</v>
      </c>
      <c r="E284" s="302">
        <f t="shared" si="133"/>
        <v>0.95966342889908485</v>
      </c>
      <c r="F284" s="303"/>
      <c r="G284" s="302">
        <v>0.8598964012274497</v>
      </c>
      <c r="H284" s="302">
        <v>0.15236073391818861</v>
      </c>
      <c r="I284" s="302">
        <v>4.5731136056727899E-2</v>
      </c>
      <c r="J284" s="302">
        <f t="shared" si="134"/>
        <v>1.057988271202366</v>
      </c>
      <c r="K284" s="303"/>
      <c r="L284" s="302">
        <v>0.52021652895878201</v>
      </c>
      <c r="M284" s="302">
        <v>8.2072676649903212E-2</v>
      </c>
      <c r="N284" s="302">
        <v>1.6759587207464458E-2</v>
      </c>
      <c r="O284" s="302">
        <f t="shared" si="135"/>
        <v>0.61904879281614977</v>
      </c>
    </row>
    <row r="285" spans="1:15" s="236" customFormat="1" x14ac:dyDescent="0.2">
      <c r="A285" s="237" t="str">
        <f>name!E$8</f>
        <v>Skilled trades occupations</v>
      </c>
      <c r="B285" s="302">
        <v>2.0899282012492058</v>
      </c>
      <c r="C285" s="302">
        <v>0.11648336766900075</v>
      </c>
      <c r="D285" s="302">
        <v>8.5034868863272731E-2</v>
      </c>
      <c r="E285" s="302">
        <f t="shared" si="133"/>
        <v>2.2914464377814792</v>
      </c>
      <c r="F285" s="303"/>
      <c r="G285" s="302">
        <v>1.8436023503657293</v>
      </c>
      <c r="H285" s="302">
        <v>5.2434015062976527E-2</v>
      </c>
      <c r="I285" s="302">
        <v>6.4887340690509582E-2</v>
      </c>
      <c r="J285" s="302">
        <f>SUM(G285:I285)</f>
        <v>1.9609237061192153</v>
      </c>
      <c r="K285" s="303"/>
      <c r="L285" s="302">
        <v>1.2296268002361863</v>
      </c>
      <c r="M285" s="302">
        <v>5.0051972269667899E-2</v>
      </c>
      <c r="N285" s="302">
        <v>3.143494489045727E-2</v>
      </c>
      <c r="O285" s="302">
        <f t="shared" si="135"/>
        <v>1.3111137173963114</v>
      </c>
    </row>
    <row r="286" spans="1:15" s="236" customFormat="1" x14ac:dyDescent="0.2">
      <c r="A286" s="237" t="str">
        <f>name!E$9</f>
        <v>Caring, leisure and other service occupations</v>
      </c>
      <c r="B286" s="302">
        <v>6.1079237901738276E-2</v>
      </c>
      <c r="C286" s="302">
        <v>1.5812461272109571E-2</v>
      </c>
      <c r="D286" s="302">
        <v>2.4162156836495547E-2</v>
      </c>
      <c r="E286" s="302">
        <f t="shared" si="133"/>
        <v>0.10105385601034339</v>
      </c>
      <c r="F286" s="303"/>
      <c r="G286" s="302">
        <v>6.5941734285547435E-2</v>
      </c>
      <c r="H286" s="302">
        <v>1.0465721060080937E-2</v>
      </c>
      <c r="I286" s="302">
        <v>4.142172915376794E-2</v>
      </c>
      <c r="J286" s="302">
        <f t="shared" ref="J286:J289" si="136">SUM(G286:I286)</f>
        <v>0.11782918449939631</v>
      </c>
      <c r="K286" s="303"/>
      <c r="L286" s="302">
        <v>4.6952558114037417E-2</v>
      </c>
      <c r="M286" s="302">
        <v>6.0797864514180351E-3</v>
      </c>
      <c r="N286" s="302">
        <v>6.8679434896431746E-2</v>
      </c>
      <c r="O286" s="302">
        <f t="shared" si="135"/>
        <v>0.1217117794618872</v>
      </c>
    </row>
    <row r="287" spans="1:15" s="236" customFormat="1" x14ac:dyDescent="0.2">
      <c r="A287" s="237" t="str">
        <f>name!E$10</f>
        <v>Sales and customer service occupations</v>
      </c>
      <c r="B287" s="302">
        <v>0.31947908827335109</v>
      </c>
      <c r="C287" s="302">
        <v>0.10849708786243815</v>
      </c>
      <c r="D287" s="302">
        <v>1.6467072071137116E-2</v>
      </c>
      <c r="E287" s="302">
        <f t="shared" si="133"/>
        <v>0.44444324820692638</v>
      </c>
      <c r="F287" s="303"/>
      <c r="G287" s="302">
        <v>0.34948524075875059</v>
      </c>
      <c r="H287" s="302">
        <v>7.6634701150461101E-2</v>
      </c>
      <c r="I287" s="302">
        <v>2.7671837922488736E-2</v>
      </c>
      <c r="J287" s="302">
        <f t="shared" si="136"/>
        <v>0.45379177983170044</v>
      </c>
      <c r="K287" s="303"/>
      <c r="L287" s="302">
        <v>0.28562113766586278</v>
      </c>
      <c r="M287" s="302">
        <v>7.9037761164096193E-2</v>
      </c>
      <c r="N287" s="302">
        <v>1.4160573917830419E-2</v>
      </c>
      <c r="O287" s="302">
        <f t="shared" si="135"/>
        <v>0.37881947274778938</v>
      </c>
    </row>
    <row r="288" spans="1:15" s="236" customFormat="1" x14ac:dyDescent="0.2">
      <c r="A288" s="237" t="str">
        <f>name!E$11</f>
        <v>Process, plant and machine operatives</v>
      </c>
      <c r="B288" s="302">
        <v>1.3882764051197591</v>
      </c>
      <c r="C288" s="302">
        <v>0.21340184931244863</v>
      </c>
      <c r="D288" s="302">
        <v>3.0948929782349262E-2</v>
      </c>
      <c r="E288" s="302">
        <f t="shared" si="133"/>
        <v>1.632627184214557</v>
      </c>
      <c r="F288" s="303"/>
      <c r="G288" s="302">
        <v>1.1539909061931286</v>
      </c>
      <c r="H288" s="302">
        <v>0.10491367125378667</v>
      </c>
      <c r="I288" s="302">
        <v>5.2386006508617203E-2</v>
      </c>
      <c r="J288" s="302">
        <f t="shared" si="136"/>
        <v>1.3112905839555324</v>
      </c>
      <c r="K288" s="303"/>
      <c r="L288" s="302">
        <v>0.81711179353257435</v>
      </c>
      <c r="M288" s="302">
        <v>5.0810068996597464E-2</v>
      </c>
      <c r="N288" s="302">
        <v>4.3715670768281187E-2</v>
      </c>
      <c r="O288" s="302">
        <f t="shared" si="135"/>
        <v>0.91163753329745301</v>
      </c>
    </row>
    <row r="289" spans="1:15" s="236" customFormat="1" x14ac:dyDescent="0.2">
      <c r="A289" s="237" t="str">
        <f>name!E$12</f>
        <v>Elementary occupations</v>
      </c>
      <c r="B289" s="302">
        <v>0.36413748343069313</v>
      </c>
      <c r="C289" s="302">
        <v>6.0345937501682344E-2</v>
      </c>
      <c r="D289" s="302">
        <v>1.914388683558382E-2</v>
      </c>
      <c r="E289" s="302">
        <f t="shared" si="133"/>
        <v>0.44362730776795928</v>
      </c>
      <c r="F289" s="303"/>
      <c r="G289" s="302">
        <v>0.2856288166746872</v>
      </c>
      <c r="H289" s="302">
        <v>3.5218209742606532E-2</v>
      </c>
      <c r="I289" s="302">
        <v>8.3112671041835062E-2</v>
      </c>
      <c r="J289" s="302">
        <f t="shared" si="136"/>
        <v>0.4039596974591288</v>
      </c>
      <c r="K289" s="303"/>
      <c r="L289" s="302">
        <v>0.14688567785424811</v>
      </c>
      <c r="M289" s="302">
        <v>1.6589514403432322E-2</v>
      </c>
      <c r="N289" s="302">
        <v>0.13790779240094661</v>
      </c>
      <c r="O289" s="302">
        <f t="shared" si="135"/>
        <v>0.30138298465862701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32</v>
      </c>
      <c r="B291" s="311">
        <f>SUM(B281:B289)</f>
        <v>10.869999999943881</v>
      </c>
      <c r="C291" s="311">
        <f t="shared" ref="C291:E291" si="137">SUM(C281:C289)</f>
        <v>0.99899999999633105</v>
      </c>
      <c r="D291" s="311">
        <f t="shared" si="137"/>
        <v>0.77500000002459291</v>
      </c>
      <c r="E291" s="311">
        <f t="shared" si="137"/>
        <v>12.643999999964807</v>
      </c>
      <c r="F291" s="311"/>
      <c r="G291" s="311">
        <f t="shared" ref="G291:J291" si="138">SUM(G281:G289)</f>
        <v>12.086999999957918</v>
      </c>
      <c r="H291" s="311">
        <f t="shared" si="138"/>
        <v>0.69200000000538586</v>
      </c>
      <c r="I291" s="311">
        <f t="shared" si="138"/>
        <v>1.086000000011613</v>
      </c>
      <c r="J291" s="311">
        <f t="shared" si="138"/>
        <v>13.864999999974916</v>
      </c>
      <c r="K291" s="311"/>
      <c r="L291" s="311">
        <f t="shared" ref="L291:O291" si="139">SUM(L281:L289)</f>
        <v>8.6200000000359953</v>
      </c>
      <c r="M291" s="311">
        <f t="shared" si="139"/>
        <v>0.50099999999518807</v>
      </c>
      <c r="N291" s="311">
        <f t="shared" si="139"/>
        <v>0.81900000004251994</v>
      </c>
      <c r="O291" s="311">
        <f t="shared" si="139"/>
        <v>9.9400000000737023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name!A20</f>
        <v>Electrical equipment</v>
      </c>
      <c r="B295" s="374">
        <f>$B$6</f>
        <v>2015</v>
      </c>
      <c r="C295" s="374"/>
      <c r="D295" s="374"/>
      <c r="E295" s="374"/>
      <c r="F295" s="263"/>
      <c r="G295" s="374">
        <f>$G$6</f>
        <v>2020</v>
      </c>
      <c r="H295" s="374"/>
      <c r="I295" s="374"/>
      <c r="J295" s="374"/>
      <c r="K295" s="263"/>
      <c r="L295" s="374">
        <f>$L$6</f>
        <v>2035</v>
      </c>
      <c r="M295" s="374"/>
      <c r="N295" s="374"/>
      <c r="O295" s="374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1.5778928606280016</v>
      </c>
      <c r="C298" s="302">
        <v>9.1298297340701454E-2</v>
      </c>
      <c r="D298" s="302">
        <v>0.14808594059644045</v>
      </c>
      <c r="E298" s="302">
        <f>SUM(B298:D298)</f>
        <v>1.8172770985651436</v>
      </c>
      <c r="F298" s="303"/>
      <c r="G298" s="302">
        <v>1.2909503130330386</v>
      </c>
      <c r="H298" s="302">
        <v>0.1571186139956009</v>
      </c>
      <c r="I298" s="302">
        <v>0.37875873881669636</v>
      </c>
      <c r="J298" s="302">
        <f>SUM(G298:I298)</f>
        <v>1.826827665845336</v>
      </c>
      <c r="K298" s="303"/>
      <c r="L298" s="302">
        <v>1.1574145363366002</v>
      </c>
      <c r="M298" s="302">
        <v>0.17157550710204986</v>
      </c>
      <c r="N298" s="302">
        <v>0.39122353148647426</v>
      </c>
      <c r="O298" s="302">
        <f>SUM(L298:N298)</f>
        <v>1.7202135749251244</v>
      </c>
    </row>
    <row r="299" spans="1:15" s="236" customFormat="1" x14ac:dyDescent="0.2">
      <c r="A299" s="237" t="str">
        <f>name!E$5</f>
        <v>Professional occupations</v>
      </c>
      <c r="B299" s="302">
        <v>1.5922710646540557</v>
      </c>
      <c r="C299" s="302">
        <v>8.3370570619520093E-2</v>
      </c>
      <c r="D299" s="302">
        <v>6.4960834224798425E-2</v>
      </c>
      <c r="E299" s="302">
        <f t="shared" ref="E299:E306" si="140">SUM(B299:D299)</f>
        <v>1.7406024694983742</v>
      </c>
      <c r="F299" s="303"/>
      <c r="G299" s="302">
        <v>1.4654234829466715</v>
      </c>
      <c r="H299" s="302">
        <v>0.14714596549295403</v>
      </c>
      <c r="I299" s="302">
        <v>0.12073263010230102</v>
      </c>
      <c r="J299" s="302">
        <f t="shared" ref="J299:J301" si="141">SUM(G299:I299)</f>
        <v>1.7333020785419266</v>
      </c>
      <c r="K299" s="303"/>
      <c r="L299" s="302">
        <v>1.4438222323821961</v>
      </c>
      <c r="M299" s="302">
        <v>0.19748681839914248</v>
      </c>
      <c r="N299" s="302">
        <v>8.8859269341603153E-2</v>
      </c>
      <c r="O299" s="302">
        <f t="shared" ref="O299:O306" si="142">SUM(L299:N299)</f>
        <v>1.7301683201229419</v>
      </c>
    </row>
    <row r="300" spans="1:15" s="236" customFormat="1" x14ac:dyDescent="0.2">
      <c r="A300" s="237" t="str">
        <f>name!E$6</f>
        <v>Associate professional occupations</v>
      </c>
      <c r="B300" s="302">
        <v>1.226849664470397</v>
      </c>
      <c r="C300" s="302">
        <v>0.16067434003551706</v>
      </c>
      <c r="D300" s="302">
        <v>6.2339574488537497E-2</v>
      </c>
      <c r="E300" s="302">
        <f t="shared" si="140"/>
        <v>1.4498635789944516</v>
      </c>
      <c r="F300" s="303"/>
      <c r="G300" s="302">
        <v>1.043496794485161</v>
      </c>
      <c r="H300" s="302">
        <v>0.23477630737107114</v>
      </c>
      <c r="I300" s="302">
        <v>7.3700314881561355E-2</v>
      </c>
      <c r="J300" s="302">
        <f t="shared" si="141"/>
        <v>1.3519734167377935</v>
      </c>
      <c r="K300" s="303"/>
      <c r="L300" s="302">
        <v>0.85513270568827882</v>
      </c>
      <c r="M300" s="302">
        <v>0.23965651142074024</v>
      </c>
      <c r="N300" s="302">
        <v>6.6198714233324268E-2</v>
      </c>
      <c r="O300" s="302">
        <f t="shared" si="142"/>
        <v>1.1609879313423432</v>
      </c>
    </row>
    <row r="301" spans="1:15" s="236" customFormat="1" x14ac:dyDescent="0.2">
      <c r="A301" s="237" t="str">
        <f>name!E$7</f>
        <v>Administrative and secretarial occupations</v>
      </c>
      <c r="B301" s="302">
        <v>0.78208440536142965</v>
      </c>
      <c r="C301" s="302">
        <v>0.25616819738414309</v>
      </c>
      <c r="D301" s="302">
        <v>2.5021940558279054E-2</v>
      </c>
      <c r="E301" s="302">
        <f t="shared" si="140"/>
        <v>1.0632745433038517</v>
      </c>
      <c r="F301" s="303"/>
      <c r="G301" s="302">
        <v>0.59949231752044674</v>
      </c>
      <c r="H301" s="302">
        <v>0.30143196832022723</v>
      </c>
      <c r="I301" s="302">
        <v>0.1519144639074779</v>
      </c>
      <c r="J301" s="302">
        <f t="shared" si="141"/>
        <v>1.0528387497481519</v>
      </c>
      <c r="K301" s="303"/>
      <c r="L301" s="302">
        <v>0.45524452542791516</v>
      </c>
      <c r="M301" s="302">
        <v>0.21832653629449753</v>
      </c>
      <c r="N301" s="302">
        <v>0.11439570859472785</v>
      </c>
      <c r="O301" s="302">
        <f t="shared" si="142"/>
        <v>0.78796677031714046</v>
      </c>
    </row>
    <row r="302" spans="1:15" s="236" customFormat="1" x14ac:dyDescent="0.2">
      <c r="A302" s="237" t="str">
        <f>name!E$8</f>
        <v>Skilled trades occupations</v>
      </c>
      <c r="B302" s="302">
        <v>2.4042170310713691</v>
      </c>
      <c r="C302" s="302">
        <v>8.0212720548563265E-2</v>
      </c>
      <c r="D302" s="302">
        <v>0.13893591883358322</v>
      </c>
      <c r="E302" s="302">
        <f t="shared" si="140"/>
        <v>2.6233656704535155</v>
      </c>
      <c r="F302" s="303"/>
      <c r="G302" s="302">
        <v>1.4210041587095132</v>
      </c>
      <c r="H302" s="302">
        <v>7.2187749462295295E-2</v>
      </c>
      <c r="I302" s="302">
        <v>0.12577422362965776</v>
      </c>
      <c r="J302" s="302">
        <f>SUM(G302:I302)</f>
        <v>1.6189661318014663</v>
      </c>
      <c r="K302" s="303"/>
      <c r="L302" s="302">
        <v>1.1604218926289251</v>
      </c>
      <c r="M302" s="302">
        <v>9.4358307298489388E-2</v>
      </c>
      <c r="N302" s="302">
        <v>0.19364252047528263</v>
      </c>
      <c r="O302" s="302">
        <f t="shared" si="142"/>
        <v>1.4484227204026974</v>
      </c>
    </row>
    <row r="303" spans="1:15" s="236" customFormat="1" x14ac:dyDescent="0.2">
      <c r="A303" s="237" t="str">
        <f>name!E$9</f>
        <v>Caring, leisure and other service occupations</v>
      </c>
      <c r="B303" s="302">
        <v>0.14129144421640019</v>
      </c>
      <c r="C303" s="302">
        <v>3.3526923635255723E-2</v>
      </c>
      <c r="D303" s="302">
        <v>7.2158177936848707E-3</v>
      </c>
      <c r="E303" s="302">
        <f t="shared" si="140"/>
        <v>0.1820341856453408</v>
      </c>
      <c r="F303" s="303"/>
      <c r="G303" s="302">
        <v>9.988919068699588E-2</v>
      </c>
      <c r="H303" s="302">
        <v>3.4446293669084561E-2</v>
      </c>
      <c r="I303" s="302">
        <v>6.8555663252133456E-2</v>
      </c>
      <c r="J303" s="302">
        <f t="shared" ref="J303:J306" si="143">SUM(G303:I303)</f>
        <v>0.20289114760821392</v>
      </c>
      <c r="K303" s="303"/>
      <c r="L303" s="302">
        <v>9.2488337585692609E-2</v>
      </c>
      <c r="M303" s="302">
        <v>2.4150303316355502E-2</v>
      </c>
      <c r="N303" s="302">
        <v>0.10043116101056339</v>
      </c>
      <c r="O303" s="302">
        <f t="shared" si="142"/>
        <v>0.21706980191261149</v>
      </c>
    </row>
    <row r="304" spans="1:15" s="236" customFormat="1" x14ac:dyDescent="0.2">
      <c r="A304" s="237" t="str">
        <f>name!E$10</f>
        <v>Sales and customer service occupations</v>
      </c>
      <c r="B304" s="302">
        <v>0.32590562075990975</v>
      </c>
      <c r="C304" s="302">
        <v>6.8316725170414566E-2</v>
      </c>
      <c r="D304" s="302">
        <v>1.5680097287593071E-2</v>
      </c>
      <c r="E304" s="302">
        <f t="shared" si="140"/>
        <v>0.40990244321791741</v>
      </c>
      <c r="F304" s="303"/>
      <c r="G304" s="302">
        <v>0.23800152774129194</v>
      </c>
      <c r="H304" s="302">
        <v>7.9376716205198844E-2</v>
      </c>
      <c r="I304" s="302">
        <v>4.8099796301436251E-2</v>
      </c>
      <c r="J304" s="302">
        <f t="shared" si="143"/>
        <v>0.36547804024792702</v>
      </c>
      <c r="K304" s="303"/>
      <c r="L304" s="302">
        <v>0.23183457985756728</v>
      </c>
      <c r="M304" s="302">
        <v>7.8674774875623743E-2</v>
      </c>
      <c r="N304" s="302">
        <v>5.717753257437809E-2</v>
      </c>
      <c r="O304" s="302">
        <f t="shared" si="142"/>
        <v>0.3676868873075691</v>
      </c>
    </row>
    <row r="305" spans="1:15" s="236" customFormat="1" x14ac:dyDescent="0.2">
      <c r="A305" s="237" t="str">
        <f>name!E$11</f>
        <v>Process, plant and machine operatives</v>
      </c>
      <c r="B305" s="302">
        <v>2.0631369620940498</v>
      </c>
      <c r="C305" s="302">
        <v>0.15431239389397328</v>
      </c>
      <c r="D305" s="302">
        <v>3.5529220039866291E-2</v>
      </c>
      <c r="E305" s="302">
        <f t="shared" si="140"/>
        <v>2.2529785760278895</v>
      </c>
      <c r="F305" s="303"/>
      <c r="G305" s="302">
        <v>1.1292199972216563</v>
      </c>
      <c r="H305" s="302">
        <v>0.14405901239988378</v>
      </c>
      <c r="I305" s="302">
        <v>7.5178751958168324E-2</v>
      </c>
      <c r="J305" s="302">
        <f t="shared" si="143"/>
        <v>1.3484577615797084</v>
      </c>
      <c r="K305" s="303"/>
      <c r="L305" s="302">
        <v>1.0583520953834038</v>
      </c>
      <c r="M305" s="302">
        <v>0.22202809767865375</v>
      </c>
      <c r="N305" s="302">
        <v>0.10024632601598861</v>
      </c>
      <c r="O305" s="302">
        <f t="shared" si="142"/>
        <v>1.3806265190780462</v>
      </c>
    </row>
    <row r="306" spans="1:15" s="236" customFormat="1" x14ac:dyDescent="0.2">
      <c r="A306" s="237" t="str">
        <f>name!E$12</f>
        <v>Elementary occupations</v>
      </c>
      <c r="B306" s="302">
        <v>0.57335094670239506</v>
      </c>
      <c r="C306" s="302">
        <v>5.6119831365724446E-2</v>
      </c>
      <c r="D306" s="302">
        <v>1.723065618033344E-2</v>
      </c>
      <c r="E306" s="302">
        <f t="shared" si="140"/>
        <v>0.64670143424845294</v>
      </c>
      <c r="F306" s="303"/>
      <c r="G306" s="302">
        <v>0.31552221765115096</v>
      </c>
      <c r="H306" s="302">
        <v>5.945737309219102E-2</v>
      </c>
      <c r="I306" s="302">
        <v>5.7285417138662934E-2</v>
      </c>
      <c r="J306" s="302">
        <f t="shared" si="143"/>
        <v>0.43226500788200489</v>
      </c>
      <c r="K306" s="303"/>
      <c r="L306" s="302">
        <v>0.19628909475537815</v>
      </c>
      <c r="M306" s="302">
        <v>4.0743143604655953E-2</v>
      </c>
      <c r="N306" s="302">
        <v>6.1825236263870549E-2</v>
      </c>
      <c r="O306" s="302">
        <f t="shared" si="142"/>
        <v>0.29885747462390466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32</v>
      </c>
      <c r="B308" s="311">
        <f>SUM(B298:B306)</f>
        <v>10.686999999958008</v>
      </c>
      <c r="C308" s="311">
        <f t="shared" ref="C308:E308" si="144">SUM(C298:C306)</f>
        <v>0.98399999999381305</v>
      </c>
      <c r="D308" s="311">
        <f t="shared" si="144"/>
        <v>0.5150000000031163</v>
      </c>
      <c r="E308" s="311">
        <f t="shared" si="144"/>
        <v>12.185999999954937</v>
      </c>
      <c r="F308" s="311"/>
      <c r="G308" s="311">
        <f t="shared" ref="G308:J308" si="145">SUM(G298:G306)</f>
        <v>7.6029999999959266</v>
      </c>
      <c r="H308" s="311">
        <f t="shared" si="145"/>
        <v>1.2300000000085067</v>
      </c>
      <c r="I308" s="311">
        <f t="shared" si="145"/>
        <v>1.0999999999880954</v>
      </c>
      <c r="J308" s="311">
        <f t="shared" si="145"/>
        <v>9.9329999999925285</v>
      </c>
      <c r="K308" s="311"/>
      <c r="L308" s="311">
        <f t="shared" ref="L308:O308" si="146">SUM(L298:L306)</f>
        <v>6.6510000000459559</v>
      </c>
      <c r="M308" s="311">
        <f t="shared" si="146"/>
        <v>1.2869999999902082</v>
      </c>
      <c r="N308" s="311">
        <f t="shared" si="146"/>
        <v>1.1739999999962127</v>
      </c>
      <c r="O308" s="311">
        <f t="shared" si="146"/>
        <v>9.1120000000323778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name!A21</f>
        <v>Machinery n.e.c.</v>
      </c>
      <c r="B312" s="374">
        <f>$B$6</f>
        <v>2015</v>
      </c>
      <c r="C312" s="374"/>
      <c r="D312" s="374"/>
      <c r="E312" s="374"/>
      <c r="F312" s="263"/>
      <c r="G312" s="374">
        <f>$G$6</f>
        <v>2020</v>
      </c>
      <c r="H312" s="374"/>
      <c r="I312" s="374"/>
      <c r="J312" s="374"/>
      <c r="K312" s="263"/>
      <c r="L312" s="374">
        <f>$L$6</f>
        <v>2035</v>
      </c>
      <c r="M312" s="374"/>
      <c r="N312" s="374"/>
      <c r="O312" s="374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2.3789072534917142</v>
      </c>
      <c r="C315" s="302">
        <v>0.12906118623242116</v>
      </c>
      <c r="D315" s="302">
        <v>0.29744678350738657</v>
      </c>
      <c r="E315" s="302">
        <f>SUM(B315:D315)</f>
        <v>2.8054152232315217</v>
      </c>
      <c r="F315" s="303"/>
      <c r="G315" s="302">
        <v>2.611516352668084</v>
      </c>
      <c r="H315" s="302">
        <v>0.15611690199831238</v>
      </c>
      <c r="I315" s="302">
        <v>0.48473958352741214</v>
      </c>
      <c r="J315" s="302">
        <f>SUM(G315:I315)</f>
        <v>3.2523728381938084</v>
      </c>
      <c r="K315" s="303"/>
      <c r="L315" s="302">
        <v>2.1733378209245986</v>
      </c>
      <c r="M315" s="302">
        <v>0.14678909754771541</v>
      </c>
      <c r="N315" s="302">
        <v>0.40128278519162069</v>
      </c>
      <c r="O315" s="302">
        <f>SUM(L315:N315)</f>
        <v>2.7214097036639346</v>
      </c>
    </row>
    <row r="316" spans="1:15" s="236" customFormat="1" x14ac:dyDescent="0.2">
      <c r="A316" s="237" t="str">
        <f>name!E$5</f>
        <v>Professional occupations</v>
      </c>
      <c r="B316" s="302">
        <v>2.6799123533775893</v>
      </c>
      <c r="C316" s="302">
        <v>7.2030850130000379E-2</v>
      </c>
      <c r="D316" s="302">
        <v>0.15555322152636369</v>
      </c>
      <c r="E316" s="302">
        <f t="shared" ref="E316:E323" si="147">SUM(B316:D316)</f>
        <v>2.9074964250339534</v>
      </c>
      <c r="F316" s="303"/>
      <c r="G316" s="302">
        <v>3.2818501352252247</v>
      </c>
      <c r="H316" s="302">
        <v>9.4609520291551091E-2</v>
      </c>
      <c r="I316" s="302">
        <v>0.19207143287853967</v>
      </c>
      <c r="J316" s="302">
        <f t="shared" ref="J316:J318" si="148">SUM(G316:I316)</f>
        <v>3.5685310883953152</v>
      </c>
      <c r="K316" s="303"/>
      <c r="L316" s="302">
        <v>2.9735047240917587</v>
      </c>
      <c r="M316" s="302">
        <v>8.6579123611648878E-2</v>
      </c>
      <c r="N316" s="302">
        <v>0.10760633339597425</v>
      </c>
      <c r="O316" s="302">
        <f t="shared" ref="O316:O323" si="149">SUM(L316:N316)</f>
        <v>3.1676901810993821</v>
      </c>
    </row>
    <row r="317" spans="1:15" s="236" customFormat="1" x14ac:dyDescent="0.2">
      <c r="A317" s="237" t="str">
        <f>name!E$6</f>
        <v>Associate professional occupations</v>
      </c>
      <c r="B317" s="302">
        <v>1.7874295536479912</v>
      </c>
      <c r="C317" s="302">
        <v>7.0053215044888331E-2</v>
      </c>
      <c r="D317" s="302">
        <v>7.0092505960040893E-2</v>
      </c>
      <c r="E317" s="302">
        <f t="shared" si="147"/>
        <v>1.9275752746529202</v>
      </c>
      <c r="F317" s="303"/>
      <c r="G317" s="302">
        <v>2.0560886158302556</v>
      </c>
      <c r="H317" s="302">
        <v>7.3088541185662159E-2</v>
      </c>
      <c r="I317" s="302">
        <v>8.624101934329953E-2</v>
      </c>
      <c r="J317" s="302">
        <f t="shared" si="148"/>
        <v>2.2154181763592176</v>
      </c>
      <c r="K317" s="303"/>
      <c r="L317" s="302">
        <v>1.5117687430405582</v>
      </c>
      <c r="M317" s="302">
        <v>5.6806094388610603E-2</v>
      </c>
      <c r="N317" s="302">
        <v>6.0609949610389589E-2</v>
      </c>
      <c r="O317" s="302">
        <f t="shared" si="149"/>
        <v>1.6291847870395584</v>
      </c>
    </row>
    <row r="318" spans="1:15" s="236" customFormat="1" x14ac:dyDescent="0.2">
      <c r="A318" s="237" t="str">
        <f>name!E$7</f>
        <v>Administrative and secretarial occupations</v>
      </c>
      <c r="B318" s="302">
        <v>1.0288268926990098</v>
      </c>
      <c r="C318" s="302">
        <v>0.24634913865386091</v>
      </c>
      <c r="D318" s="302">
        <v>4.4841521552397637E-2</v>
      </c>
      <c r="E318" s="302">
        <f t="shared" si="147"/>
        <v>1.3200175529052685</v>
      </c>
      <c r="F318" s="303"/>
      <c r="G318" s="302">
        <v>1.1119137047178245</v>
      </c>
      <c r="H318" s="302">
        <v>0.22782687777920613</v>
      </c>
      <c r="I318" s="302">
        <v>0.13827380029672881</v>
      </c>
      <c r="J318" s="302">
        <f t="shared" si="148"/>
        <v>1.4780143827937593</v>
      </c>
      <c r="K318" s="303"/>
      <c r="L318" s="302">
        <v>0.78900833401448778</v>
      </c>
      <c r="M318" s="302">
        <v>0.13750522922866285</v>
      </c>
      <c r="N318" s="302">
        <v>9.0820581802571909E-2</v>
      </c>
      <c r="O318" s="302">
        <f t="shared" si="149"/>
        <v>1.0173341450457225</v>
      </c>
    </row>
    <row r="319" spans="1:15" s="236" customFormat="1" x14ac:dyDescent="0.2">
      <c r="A319" s="237" t="str">
        <f>name!E$8</f>
        <v>Skilled trades occupations</v>
      </c>
      <c r="B319" s="302">
        <v>4.5260594078706626</v>
      </c>
      <c r="C319" s="302">
        <v>0.1308317596645</v>
      </c>
      <c r="D319" s="302">
        <v>0.59550528002852265</v>
      </c>
      <c r="E319" s="302">
        <f t="shared" si="147"/>
        <v>5.2523964475636848</v>
      </c>
      <c r="F319" s="303"/>
      <c r="G319" s="302">
        <v>3.5335766607883872</v>
      </c>
      <c r="H319" s="302">
        <v>7.25747830458362E-2</v>
      </c>
      <c r="I319" s="302">
        <v>0.4057561983039758</v>
      </c>
      <c r="J319" s="302">
        <f>SUM(G319:I319)</f>
        <v>4.0119076421381994</v>
      </c>
      <c r="K319" s="303"/>
      <c r="L319" s="302">
        <v>2.5106731682273904</v>
      </c>
      <c r="M319" s="302">
        <v>7.3759609911673796E-2</v>
      </c>
      <c r="N319" s="302">
        <v>0.37394018091329168</v>
      </c>
      <c r="O319" s="302">
        <f t="shared" si="149"/>
        <v>2.958372959052356</v>
      </c>
    </row>
    <row r="320" spans="1:15" s="236" customFormat="1" x14ac:dyDescent="0.2">
      <c r="A320" s="237" t="str">
        <f>name!E$9</f>
        <v>Caring, leisure and other service occupations</v>
      </c>
      <c r="B320" s="302">
        <v>0.10961649988876443</v>
      </c>
      <c r="C320" s="302">
        <v>2.7209917200144384E-2</v>
      </c>
      <c r="D320" s="302">
        <v>1.4772420608757246E-2</v>
      </c>
      <c r="E320" s="302">
        <f t="shared" si="147"/>
        <v>0.15159883769766605</v>
      </c>
      <c r="F320" s="303"/>
      <c r="G320" s="302">
        <v>0.10378211871346088</v>
      </c>
      <c r="H320" s="302">
        <v>2.1608573047625222E-2</v>
      </c>
      <c r="I320" s="302">
        <v>6.0205034226144843E-2</v>
      </c>
      <c r="J320" s="302">
        <f t="shared" ref="J320:J323" si="150">SUM(G320:I320)</f>
        <v>0.18559572598723095</v>
      </c>
      <c r="K320" s="303"/>
      <c r="L320" s="302">
        <v>6.8143031491399289E-2</v>
      </c>
      <c r="M320" s="302">
        <v>1.4019388244394028E-2</v>
      </c>
      <c r="N320" s="302">
        <v>7.543588172733301E-2</v>
      </c>
      <c r="O320" s="302">
        <f t="shared" si="149"/>
        <v>0.15759830146312631</v>
      </c>
    </row>
    <row r="321" spans="1:15" s="236" customFormat="1" x14ac:dyDescent="0.2">
      <c r="A321" s="237" t="str">
        <f>name!E$10</f>
        <v>Sales and customer service occupations</v>
      </c>
      <c r="B321" s="302">
        <v>0.56233542174445017</v>
      </c>
      <c r="C321" s="302">
        <v>6.1278188021238293E-2</v>
      </c>
      <c r="D321" s="302">
        <v>2.9917585327880476E-2</v>
      </c>
      <c r="E321" s="302">
        <f t="shared" si="147"/>
        <v>0.65353119509356894</v>
      </c>
      <c r="F321" s="303"/>
      <c r="G321" s="302">
        <v>0.54786361951132545</v>
      </c>
      <c r="H321" s="302">
        <v>5.3454596626404415E-2</v>
      </c>
      <c r="I321" s="302">
        <v>5.0015774377862657E-2</v>
      </c>
      <c r="J321" s="302">
        <f t="shared" si="150"/>
        <v>0.65133399051559249</v>
      </c>
      <c r="K321" s="303"/>
      <c r="L321" s="302">
        <v>0.4631995798727544</v>
      </c>
      <c r="M321" s="302">
        <v>5.252088011117273E-2</v>
      </c>
      <c r="N321" s="302">
        <v>4.6720924154734597E-2</v>
      </c>
      <c r="O321" s="302">
        <f t="shared" si="149"/>
        <v>0.56244138413866174</v>
      </c>
    </row>
    <row r="322" spans="1:15" s="236" customFormat="1" x14ac:dyDescent="0.2">
      <c r="A322" s="237" t="str">
        <f>name!E$11</f>
        <v>Process, plant and machine operatives</v>
      </c>
      <c r="B322" s="302">
        <v>2.7293068770785087</v>
      </c>
      <c r="C322" s="302">
        <v>0.10606166274848226</v>
      </c>
      <c r="D322" s="302">
        <v>8.865902101203986E-2</v>
      </c>
      <c r="E322" s="302">
        <f t="shared" si="147"/>
        <v>2.9240275608390309</v>
      </c>
      <c r="F322" s="303"/>
      <c r="G322" s="302">
        <v>2.038557274751974</v>
      </c>
      <c r="H322" s="302">
        <v>8.1281049611338738E-2</v>
      </c>
      <c r="I322" s="302">
        <v>0.10612410663909815</v>
      </c>
      <c r="J322" s="302">
        <f t="shared" si="150"/>
        <v>2.2259624310024111</v>
      </c>
      <c r="K322" s="303"/>
      <c r="L322" s="302">
        <v>1.8421295368523865</v>
      </c>
      <c r="M322" s="302">
        <v>8.4042944316842991E-2</v>
      </c>
      <c r="N322" s="302">
        <v>0.11607492054118539</v>
      </c>
      <c r="O322" s="302">
        <f t="shared" si="149"/>
        <v>2.0422474017104149</v>
      </c>
    </row>
    <row r="323" spans="1:15" s="236" customFormat="1" x14ac:dyDescent="0.2">
      <c r="A323" s="237" t="str">
        <f>name!E$12</f>
        <v>Elementary occupations</v>
      </c>
      <c r="B323" s="302">
        <v>0.81660574014857557</v>
      </c>
      <c r="C323" s="302">
        <v>6.0124082300857661E-2</v>
      </c>
      <c r="D323" s="302">
        <v>5.1211660474057945E-2</v>
      </c>
      <c r="E323" s="302">
        <f t="shared" si="147"/>
        <v>0.9279414829234911</v>
      </c>
      <c r="F323" s="303"/>
      <c r="G323" s="302">
        <v>0.60385151779363722</v>
      </c>
      <c r="H323" s="302">
        <v>4.7439156420065451E-2</v>
      </c>
      <c r="I323" s="302">
        <v>6.4573050394698947E-2</v>
      </c>
      <c r="J323" s="302">
        <f t="shared" si="150"/>
        <v>0.71586372460840164</v>
      </c>
      <c r="K323" s="303"/>
      <c r="L323" s="302">
        <v>0.35123506158064494</v>
      </c>
      <c r="M323" s="302">
        <v>2.8977632635016005E-2</v>
      </c>
      <c r="N323" s="302">
        <v>6.0508442655414559E-2</v>
      </c>
      <c r="O323" s="302">
        <f t="shared" si="149"/>
        <v>0.4407211368710755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32</v>
      </c>
      <c r="B325" s="311">
        <f>SUM(B315:B323)</f>
        <v>16.618999999947263</v>
      </c>
      <c r="C325" s="311">
        <f t="shared" ref="C325:E325" si="151">SUM(C315:C323)</f>
        <v>0.90299999999639347</v>
      </c>
      <c r="D325" s="311">
        <f t="shared" si="151"/>
        <v>1.347999999997447</v>
      </c>
      <c r="E325" s="311">
        <f t="shared" si="151"/>
        <v>18.869999999941104</v>
      </c>
      <c r="F325" s="311"/>
      <c r="G325" s="311">
        <f t="shared" ref="G325:J325" si="152">SUM(G315:G323)</f>
        <v>15.889000000000175</v>
      </c>
      <c r="H325" s="311">
        <f t="shared" si="152"/>
        <v>0.82800000000600171</v>
      </c>
      <c r="I325" s="311">
        <f t="shared" si="152"/>
        <v>1.5879999999877605</v>
      </c>
      <c r="J325" s="311">
        <f t="shared" si="152"/>
        <v>18.304999999993932</v>
      </c>
      <c r="K325" s="311"/>
      <c r="L325" s="311">
        <f t="shared" ref="L325:O325" si="153">SUM(L315:L323)</f>
        <v>12.683000000095978</v>
      </c>
      <c r="M325" s="311">
        <f t="shared" si="153"/>
        <v>0.68099999999573724</v>
      </c>
      <c r="N325" s="311">
        <f t="shared" si="153"/>
        <v>1.3329999999925157</v>
      </c>
      <c r="O325" s="311">
        <f t="shared" si="153"/>
        <v>14.697000000084234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name!A22</f>
        <v>Motor vehicles, etc</v>
      </c>
      <c r="B329" s="374">
        <f>$B$6</f>
        <v>2015</v>
      </c>
      <c r="C329" s="374"/>
      <c r="D329" s="374"/>
      <c r="E329" s="374"/>
      <c r="F329" s="263"/>
      <c r="G329" s="374">
        <f>$G$6</f>
        <v>2020</v>
      </c>
      <c r="H329" s="374"/>
      <c r="I329" s="374"/>
      <c r="J329" s="374"/>
      <c r="K329" s="263"/>
      <c r="L329" s="374">
        <f>$L$6</f>
        <v>2035</v>
      </c>
      <c r="M329" s="374"/>
      <c r="N329" s="374"/>
      <c r="O329" s="374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0.67721427576941962</v>
      </c>
      <c r="C332" s="302">
        <v>1.2000069463331531E-2</v>
      </c>
      <c r="D332" s="302">
        <v>0.12159398575804035</v>
      </c>
      <c r="E332" s="302">
        <f>SUM(B332:D332)</f>
        <v>0.81080833099079153</v>
      </c>
      <c r="F332" s="303"/>
      <c r="G332" s="302">
        <v>0.72733666866280944</v>
      </c>
      <c r="H332" s="302">
        <v>1.3036483450374203E-2</v>
      </c>
      <c r="I332" s="302">
        <v>0.11833545514322143</v>
      </c>
      <c r="J332" s="302">
        <f>SUM(G332:I332)</f>
        <v>0.85870860725640508</v>
      </c>
      <c r="K332" s="303"/>
      <c r="L332" s="302">
        <v>0.61714889250228055</v>
      </c>
      <c r="M332" s="302">
        <v>1.2570122028410827E-2</v>
      </c>
      <c r="N332" s="302">
        <v>0.11190929906687164</v>
      </c>
      <c r="O332" s="302">
        <f>SUM(L332:N332)</f>
        <v>0.74162831359756298</v>
      </c>
    </row>
    <row r="333" spans="1:15" s="236" customFormat="1" x14ac:dyDescent="0.2">
      <c r="A333" s="237" t="str">
        <f>name!E$5</f>
        <v>Professional occupations</v>
      </c>
      <c r="B333" s="302">
        <v>1.1952194006954</v>
      </c>
      <c r="C333" s="302">
        <v>2.1905737271954124E-2</v>
      </c>
      <c r="D333" s="302">
        <v>6.1770149050617715E-2</v>
      </c>
      <c r="E333" s="302">
        <f t="shared" ref="E333:E340" si="154">SUM(B333:D333)</f>
        <v>1.2788952870179719</v>
      </c>
      <c r="F333" s="303"/>
      <c r="G333" s="302">
        <v>1.4143523766387442</v>
      </c>
      <c r="H333" s="302">
        <v>2.4443049671055248E-2</v>
      </c>
      <c r="I333" s="302">
        <v>4.6987486685703447E-2</v>
      </c>
      <c r="J333" s="302">
        <f t="shared" ref="J333:J335" si="155">SUM(G333:I333)</f>
        <v>1.4857829129955029</v>
      </c>
      <c r="K333" s="303"/>
      <c r="L333" s="302">
        <v>1.3302653110115668</v>
      </c>
      <c r="M333" s="302">
        <v>2.6999428158027861E-2</v>
      </c>
      <c r="N333" s="302">
        <v>3.3158612780387148E-2</v>
      </c>
      <c r="O333" s="302">
        <f t="shared" ref="O333:O340" si="156">SUM(L333:N333)</f>
        <v>1.3904233519499818</v>
      </c>
    </row>
    <row r="334" spans="1:15" s="236" customFormat="1" x14ac:dyDescent="0.2">
      <c r="A334" s="237" t="str">
        <f>name!E$6</f>
        <v>Associate professional occupations</v>
      </c>
      <c r="B334" s="302">
        <v>0.56635927365341121</v>
      </c>
      <c r="C334" s="302">
        <v>2.0584753095171729E-2</v>
      </c>
      <c r="D334" s="302">
        <v>4.5071834732290199E-2</v>
      </c>
      <c r="E334" s="302">
        <f t="shared" si="154"/>
        <v>0.63201586148087308</v>
      </c>
      <c r="F334" s="303"/>
      <c r="G334" s="302">
        <v>0.65954784019470614</v>
      </c>
      <c r="H334" s="302">
        <v>1.601900725235076E-2</v>
      </c>
      <c r="I334" s="302">
        <v>3.3177595161464166E-2</v>
      </c>
      <c r="J334" s="302">
        <f t="shared" si="155"/>
        <v>0.70874444260852099</v>
      </c>
      <c r="K334" s="303"/>
      <c r="L334" s="302">
        <v>0.4940280134179677</v>
      </c>
      <c r="M334" s="302">
        <v>1.0585484078276598E-2</v>
      </c>
      <c r="N334" s="302">
        <v>2.9707069380810816E-2</v>
      </c>
      <c r="O334" s="302">
        <f t="shared" si="156"/>
        <v>0.53432056687705509</v>
      </c>
    </row>
    <row r="335" spans="1:15" s="236" customFormat="1" x14ac:dyDescent="0.2">
      <c r="A335" s="237" t="str">
        <f>name!E$7</f>
        <v>Administrative and secretarial occupations</v>
      </c>
      <c r="B335" s="302">
        <v>0.64415560902229552</v>
      </c>
      <c r="C335" s="302">
        <v>3.3203529719085821E-2</v>
      </c>
      <c r="D335" s="302">
        <v>1.1237769288868448E-2</v>
      </c>
      <c r="E335" s="302">
        <f t="shared" si="154"/>
        <v>0.68859690803024975</v>
      </c>
      <c r="F335" s="303"/>
      <c r="G335" s="302">
        <v>0.68320627307116522</v>
      </c>
      <c r="H335" s="302">
        <v>1.887113232626168E-2</v>
      </c>
      <c r="I335" s="302">
        <v>1.2481998998972539E-2</v>
      </c>
      <c r="J335" s="302">
        <f t="shared" si="155"/>
        <v>0.71455940439639942</v>
      </c>
      <c r="K335" s="303"/>
      <c r="L335" s="302">
        <v>0.55806376184971751</v>
      </c>
      <c r="M335" s="302">
        <v>1.0073061436283471E-2</v>
      </c>
      <c r="N335" s="302">
        <v>9.914866825686439E-3</v>
      </c>
      <c r="O335" s="302">
        <f t="shared" si="156"/>
        <v>0.57805169011168744</v>
      </c>
    </row>
    <row r="336" spans="1:15" s="236" customFormat="1" x14ac:dyDescent="0.2">
      <c r="A336" s="237" t="str">
        <f>name!E$8</f>
        <v>Skilled trades occupations</v>
      </c>
      <c r="B336" s="302">
        <v>2.1749263573716413</v>
      </c>
      <c r="C336" s="302">
        <v>3.8756987630428591E-2</v>
      </c>
      <c r="D336" s="302">
        <v>0.12712464255682782</v>
      </c>
      <c r="E336" s="302">
        <f t="shared" si="154"/>
        <v>2.3408079875588981</v>
      </c>
      <c r="F336" s="303"/>
      <c r="G336" s="302">
        <v>1.7421206870554853</v>
      </c>
      <c r="H336" s="302">
        <v>2.6831802149326029E-2</v>
      </c>
      <c r="I336" s="302">
        <v>7.3967942816185739E-2</v>
      </c>
      <c r="J336" s="302">
        <f>SUM(G336:I336)</f>
        <v>1.8429204320209971</v>
      </c>
      <c r="K336" s="303"/>
      <c r="L336" s="302">
        <v>1.345164946239882</v>
      </c>
      <c r="M336" s="302">
        <v>2.966297760073049E-2</v>
      </c>
      <c r="N336" s="302">
        <v>7.784498926073341E-2</v>
      </c>
      <c r="O336" s="302">
        <f t="shared" si="156"/>
        <v>1.4526729131013458</v>
      </c>
    </row>
    <row r="337" spans="1:15" s="236" customFormat="1" x14ac:dyDescent="0.2">
      <c r="A337" s="237" t="str">
        <f>name!E$9</f>
        <v>Caring, leisure and other service occupations</v>
      </c>
      <c r="B337" s="302">
        <v>0.12130092310284342</v>
      </c>
      <c r="C337" s="302">
        <v>7.9457678130611629E-3</v>
      </c>
      <c r="D337" s="302">
        <v>5.0629885337658284E-3</v>
      </c>
      <c r="E337" s="302">
        <f t="shared" si="154"/>
        <v>0.1343096794496704</v>
      </c>
      <c r="F337" s="303"/>
      <c r="G337" s="302">
        <v>0.1273807904276737</v>
      </c>
      <c r="H337" s="302">
        <v>5.093024090634328E-3</v>
      </c>
      <c r="I337" s="302">
        <v>1.035018359014908E-2</v>
      </c>
      <c r="J337" s="302">
        <f t="shared" ref="J337:J340" si="157">SUM(G337:I337)</f>
        <v>0.14282399810845711</v>
      </c>
      <c r="K337" s="303"/>
      <c r="L337" s="302">
        <v>0.16398277067501932</v>
      </c>
      <c r="M337" s="302">
        <v>3.9525963209955635E-3</v>
      </c>
      <c r="N337" s="302">
        <v>1.4017108034882767E-2</v>
      </c>
      <c r="O337" s="302">
        <f t="shared" si="156"/>
        <v>0.18195247503089765</v>
      </c>
    </row>
    <row r="338" spans="1:15" s="236" customFormat="1" x14ac:dyDescent="0.2">
      <c r="A338" s="237" t="str">
        <f>name!E$10</f>
        <v>Sales and customer service occupations</v>
      </c>
      <c r="B338" s="302">
        <v>0.21964686683904183</v>
      </c>
      <c r="C338" s="302">
        <v>1.7853411841368058E-2</v>
      </c>
      <c r="D338" s="302">
        <v>1.1423106123885429E-2</v>
      </c>
      <c r="E338" s="302">
        <f t="shared" si="154"/>
        <v>0.24892338480429532</v>
      </c>
      <c r="F338" s="303"/>
      <c r="G338" s="302">
        <v>0.20006142930955126</v>
      </c>
      <c r="H338" s="302">
        <v>1.3961026548535357E-2</v>
      </c>
      <c r="I338" s="302">
        <v>7.6275991148123E-3</v>
      </c>
      <c r="J338" s="302">
        <f t="shared" si="157"/>
        <v>0.22165005497289891</v>
      </c>
      <c r="K338" s="303"/>
      <c r="L338" s="302">
        <v>0.19659051808343306</v>
      </c>
      <c r="M338" s="302">
        <v>1.3648782011771591E-2</v>
      </c>
      <c r="N338" s="302">
        <v>6.9843579498616963E-3</v>
      </c>
      <c r="O338" s="302">
        <f t="shared" si="156"/>
        <v>0.21722365804506633</v>
      </c>
    </row>
    <row r="339" spans="1:15" s="236" customFormat="1" x14ac:dyDescent="0.2">
      <c r="A339" s="237" t="str">
        <f>name!E$11</f>
        <v>Process, plant and machine operatives</v>
      </c>
      <c r="B339" s="302">
        <v>2.1737333400130083</v>
      </c>
      <c r="C339" s="302">
        <v>5.4612873537588695E-2</v>
      </c>
      <c r="D339" s="302">
        <v>1.7433647656648801E-2</v>
      </c>
      <c r="E339" s="302">
        <f t="shared" si="154"/>
        <v>2.2457798612072457</v>
      </c>
      <c r="F339" s="303"/>
      <c r="G339" s="302">
        <v>1.6309324824995093</v>
      </c>
      <c r="H339" s="302">
        <v>4.8357711487333137E-2</v>
      </c>
      <c r="I339" s="302">
        <v>2.888837278615862E-2</v>
      </c>
      <c r="J339" s="302">
        <f t="shared" si="157"/>
        <v>1.708178566773001</v>
      </c>
      <c r="K339" s="303"/>
      <c r="L339" s="302">
        <v>1.5195711235225384</v>
      </c>
      <c r="M339" s="302">
        <v>4.7168119309157583E-2</v>
      </c>
      <c r="N339" s="302">
        <v>2.4048282614814086E-2</v>
      </c>
      <c r="O339" s="302">
        <f t="shared" si="156"/>
        <v>1.59078752544651</v>
      </c>
    </row>
    <row r="340" spans="1:15" s="236" customFormat="1" x14ac:dyDescent="0.2">
      <c r="A340" s="237" t="str">
        <f>name!E$12</f>
        <v>Elementary occupations</v>
      </c>
      <c r="B340" s="302">
        <v>0.42044395352370906</v>
      </c>
      <c r="C340" s="302">
        <v>1.9136869628574773E-2</v>
      </c>
      <c r="D340" s="302">
        <v>7.2818763023128653E-3</v>
      </c>
      <c r="E340" s="302">
        <f t="shared" si="154"/>
        <v>0.44686269945459667</v>
      </c>
      <c r="F340" s="303"/>
      <c r="G340" s="302">
        <v>0.31706145216649145</v>
      </c>
      <c r="H340" s="302">
        <v>1.0386763026100587E-2</v>
      </c>
      <c r="I340" s="302">
        <v>8.1833657035071065E-3</v>
      </c>
      <c r="J340" s="302">
        <f t="shared" si="157"/>
        <v>0.33563158089609912</v>
      </c>
      <c r="K340" s="303"/>
      <c r="L340" s="302">
        <v>0.18618466275542991</v>
      </c>
      <c r="M340" s="302">
        <v>5.3394290570106424E-3</v>
      </c>
      <c r="N340" s="302">
        <v>6.4154140874780998E-3</v>
      </c>
      <c r="O340" s="302">
        <f t="shared" si="156"/>
        <v>0.19793950589991866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32</v>
      </c>
      <c r="B342" s="311">
        <f>SUM(B332:B340)</f>
        <v>8.1929999999907714</v>
      </c>
      <c r="C342" s="311">
        <f t="shared" ref="C342:E342" si="158">SUM(C332:C340)</f>
        <v>0.2260000000005645</v>
      </c>
      <c r="D342" s="311">
        <f t="shared" si="158"/>
        <v>0.40800000000325748</v>
      </c>
      <c r="E342" s="311">
        <f t="shared" si="158"/>
        <v>8.8269999999945927</v>
      </c>
      <c r="F342" s="311"/>
      <c r="G342" s="311">
        <f t="shared" ref="G342:J342" si="159">SUM(G332:G340)</f>
        <v>7.5020000000261362</v>
      </c>
      <c r="H342" s="311">
        <f t="shared" si="159"/>
        <v>0.17700000000197133</v>
      </c>
      <c r="I342" s="311">
        <f t="shared" si="159"/>
        <v>0.34000000000017444</v>
      </c>
      <c r="J342" s="311">
        <f t="shared" si="159"/>
        <v>8.0190000000282815</v>
      </c>
      <c r="K342" s="311"/>
      <c r="L342" s="311">
        <f t="shared" ref="L342:O342" si="160">SUM(L332:L340)</f>
        <v>6.411000000057836</v>
      </c>
      <c r="M342" s="311">
        <f t="shared" si="160"/>
        <v>0.16000000000066464</v>
      </c>
      <c r="N342" s="311">
        <f t="shared" si="160"/>
        <v>0.31400000000152606</v>
      </c>
      <c r="O342" s="311">
        <f t="shared" si="160"/>
        <v>6.8850000000600264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name!A23</f>
        <v>Other transport equipment</v>
      </c>
      <c r="B346" s="374">
        <f>$B$6</f>
        <v>2015</v>
      </c>
      <c r="C346" s="374"/>
      <c r="D346" s="374"/>
      <c r="E346" s="374"/>
      <c r="F346" s="263"/>
      <c r="G346" s="374">
        <f>$G$6</f>
        <v>2020</v>
      </c>
      <c r="H346" s="374"/>
      <c r="I346" s="374"/>
      <c r="J346" s="374"/>
      <c r="K346" s="263"/>
      <c r="L346" s="374">
        <f>$L$6</f>
        <v>2035</v>
      </c>
      <c r="M346" s="374"/>
      <c r="N346" s="374"/>
      <c r="O346" s="374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2.9075402588656321</v>
      </c>
      <c r="C349" s="302">
        <v>4.8355260604165298E-2</v>
      </c>
      <c r="D349" s="302">
        <v>0.10470724100363055</v>
      </c>
      <c r="E349" s="302">
        <f>SUM(B349:D349)</f>
        <v>3.0606027604734281</v>
      </c>
      <c r="F349" s="303"/>
      <c r="G349" s="302">
        <v>3.3821398621393968</v>
      </c>
      <c r="H349" s="302">
        <v>0.10869831078138727</v>
      </c>
      <c r="I349" s="302">
        <v>0.25988033010486489</v>
      </c>
      <c r="J349" s="302">
        <f>SUM(G349:I349)</f>
        <v>3.7507185030256487</v>
      </c>
      <c r="K349" s="303"/>
      <c r="L349" s="302">
        <v>3.4428868008178575</v>
      </c>
      <c r="M349" s="302">
        <v>0.10686842859111606</v>
      </c>
      <c r="N349" s="302">
        <v>0.26796840759135238</v>
      </c>
      <c r="O349" s="302">
        <f>SUM(L349:N349)</f>
        <v>3.8177236370003258</v>
      </c>
    </row>
    <row r="350" spans="1:15" s="236" customFormat="1" x14ac:dyDescent="0.2">
      <c r="A350" s="237" t="str">
        <f>name!E$5</f>
        <v>Professional occupations</v>
      </c>
      <c r="B350" s="302">
        <v>6.2744727762145098</v>
      </c>
      <c r="C350" s="302">
        <v>5.6958230033309319E-2</v>
      </c>
      <c r="D350" s="302">
        <v>0.10898507402696234</v>
      </c>
      <c r="E350" s="302">
        <f t="shared" ref="E350:E357" si="161">SUM(B350:D350)</f>
        <v>6.4404160802747814</v>
      </c>
      <c r="F350" s="303"/>
      <c r="G350" s="302">
        <v>8.0350819591188891</v>
      </c>
      <c r="H350" s="302">
        <v>0.12699589054180421</v>
      </c>
      <c r="I350" s="302">
        <v>0.22793473554396537</v>
      </c>
      <c r="J350" s="302">
        <f t="shared" ref="J350:J352" si="162">SUM(G350:I350)</f>
        <v>8.3900125852046585</v>
      </c>
      <c r="K350" s="303"/>
      <c r="L350" s="302">
        <v>9.1313912859779833</v>
      </c>
      <c r="M350" s="302">
        <v>0.1331268744802607</v>
      </c>
      <c r="N350" s="302">
        <v>0.14478492869737297</v>
      </c>
      <c r="O350" s="302">
        <f t="shared" ref="O350:O357" si="163">SUM(L350:N350)</f>
        <v>9.4093030891556175</v>
      </c>
    </row>
    <row r="351" spans="1:15" s="236" customFormat="1" x14ac:dyDescent="0.2">
      <c r="A351" s="237" t="str">
        <f>name!E$6</f>
        <v>Associate professional occupations</v>
      </c>
      <c r="B351" s="302">
        <v>2.6610111819258329</v>
      </c>
      <c r="C351" s="302">
        <v>4.1065860854676048E-2</v>
      </c>
      <c r="D351" s="302">
        <v>5.6682980962149437E-2</v>
      </c>
      <c r="E351" s="302">
        <f t="shared" si="161"/>
        <v>2.7587600237426586</v>
      </c>
      <c r="F351" s="303"/>
      <c r="G351" s="302">
        <v>3.3091167467820588</v>
      </c>
      <c r="H351" s="302">
        <v>7.5248976499837583E-2</v>
      </c>
      <c r="I351" s="302">
        <v>0.1211595460809323</v>
      </c>
      <c r="J351" s="302">
        <f t="shared" si="162"/>
        <v>3.5055252693628289</v>
      </c>
      <c r="K351" s="303"/>
      <c r="L351" s="302">
        <v>3.0465658255041403</v>
      </c>
      <c r="M351" s="302">
        <v>6.5154624514733916E-2</v>
      </c>
      <c r="N351" s="302">
        <v>0.10395641346611603</v>
      </c>
      <c r="O351" s="302">
        <f t="shared" si="163"/>
        <v>3.2156768634849904</v>
      </c>
    </row>
    <row r="352" spans="1:15" s="236" customFormat="1" x14ac:dyDescent="0.2">
      <c r="A352" s="237" t="str">
        <f>name!E$7</f>
        <v>Administrative and secretarial occupations</v>
      </c>
      <c r="B352" s="302">
        <v>2.5194676573230796</v>
      </c>
      <c r="C352" s="302">
        <v>0.15148898734888944</v>
      </c>
      <c r="D352" s="302">
        <v>1.5194805953968795E-2</v>
      </c>
      <c r="E352" s="302">
        <f t="shared" si="161"/>
        <v>2.6861514506259376</v>
      </c>
      <c r="F352" s="303"/>
      <c r="G352" s="302">
        <v>3.0765295534621417</v>
      </c>
      <c r="H352" s="302">
        <v>0.22299327234327312</v>
      </c>
      <c r="I352" s="302">
        <v>3.258790512470458E-2</v>
      </c>
      <c r="J352" s="302">
        <f t="shared" si="162"/>
        <v>3.3321107309301192</v>
      </c>
      <c r="K352" s="303"/>
      <c r="L352" s="302">
        <v>3.3069094216485979</v>
      </c>
      <c r="M352" s="302">
        <v>0.20128903015495297</v>
      </c>
      <c r="N352" s="302">
        <v>9.0373464018890931E-2</v>
      </c>
      <c r="O352" s="302">
        <f t="shared" si="163"/>
        <v>3.5985719158224416</v>
      </c>
    </row>
    <row r="353" spans="1:15" s="236" customFormat="1" x14ac:dyDescent="0.2">
      <c r="A353" s="237" t="str">
        <f>name!E$8</f>
        <v>Skilled trades occupations</v>
      </c>
      <c r="B353" s="302">
        <v>11.911235213984316</v>
      </c>
      <c r="C353" s="302">
        <v>3.4557496103180978E-2</v>
      </c>
      <c r="D353" s="302">
        <v>0.71617564382343879</v>
      </c>
      <c r="E353" s="302">
        <f t="shared" si="161"/>
        <v>12.661968353910936</v>
      </c>
      <c r="F353" s="303"/>
      <c r="G353" s="302">
        <v>10.162315316080086</v>
      </c>
      <c r="H353" s="302">
        <v>4.3268700725149038E-2</v>
      </c>
      <c r="I353" s="302">
        <v>1.0855020165585703</v>
      </c>
      <c r="J353" s="302">
        <f>SUM(G353:I353)</f>
        <v>11.291086033363804</v>
      </c>
      <c r="K353" s="303"/>
      <c r="L353" s="302">
        <v>9.1298857844183718</v>
      </c>
      <c r="M353" s="302">
        <v>7.4423224740013436E-2</v>
      </c>
      <c r="N353" s="302">
        <v>1.0823038948528525</v>
      </c>
      <c r="O353" s="302">
        <f t="shared" si="163"/>
        <v>10.286612904011237</v>
      </c>
    </row>
    <row r="354" spans="1:15" s="236" customFormat="1" x14ac:dyDescent="0.2">
      <c r="A354" s="237" t="str">
        <f>name!E$9</f>
        <v>Caring, leisure and other service occupations</v>
      </c>
      <c r="B354" s="302">
        <v>8.7248150565864296E-2</v>
      </c>
      <c r="C354" s="302">
        <v>4.4185510862097014E-3</v>
      </c>
      <c r="D354" s="302">
        <v>1.3270320791686567E-2</v>
      </c>
      <c r="E354" s="302">
        <f t="shared" si="161"/>
        <v>0.10493702244376056</v>
      </c>
      <c r="F354" s="303"/>
      <c r="G354" s="302">
        <v>9.9938849187099915E-2</v>
      </c>
      <c r="H354" s="302">
        <v>6.5766506373551737E-3</v>
      </c>
      <c r="I354" s="302">
        <v>3.7110243427382741E-2</v>
      </c>
      <c r="J354" s="302">
        <f t="shared" ref="J354:J357" si="164">SUM(G354:I354)</f>
        <v>0.14362574325183783</v>
      </c>
      <c r="K354" s="303"/>
      <c r="L354" s="302">
        <v>0.11921548296313912</v>
      </c>
      <c r="M354" s="302">
        <v>4.2978907804160265E-3</v>
      </c>
      <c r="N354" s="302">
        <v>2.4652283349019879E-2</v>
      </c>
      <c r="O354" s="302">
        <f t="shared" si="163"/>
        <v>0.14816565709257501</v>
      </c>
    </row>
    <row r="355" spans="1:15" s="236" customFormat="1" x14ac:dyDescent="0.2">
      <c r="A355" s="237" t="str">
        <f>name!E$10</f>
        <v>Sales and customer service occupations</v>
      </c>
      <c r="B355" s="302">
        <v>0.39932774245951552</v>
      </c>
      <c r="C355" s="302">
        <v>0.10788082372075711</v>
      </c>
      <c r="D355" s="302">
        <v>6.6142157308724747E-2</v>
      </c>
      <c r="E355" s="302">
        <f t="shared" si="161"/>
        <v>0.5733507234889974</v>
      </c>
      <c r="F355" s="303"/>
      <c r="G355" s="302">
        <v>0.42850217534613677</v>
      </c>
      <c r="H355" s="302">
        <v>0.16683920006677261</v>
      </c>
      <c r="I355" s="302">
        <v>9.925332659046332E-2</v>
      </c>
      <c r="J355" s="302">
        <f t="shared" si="164"/>
        <v>0.6945947020033727</v>
      </c>
      <c r="K355" s="303"/>
      <c r="L355" s="302">
        <v>0.54929370361797103</v>
      </c>
      <c r="M355" s="302">
        <v>0.22784049027982295</v>
      </c>
      <c r="N355" s="302">
        <v>9.1274949425077495E-2</v>
      </c>
      <c r="O355" s="302">
        <f t="shared" si="163"/>
        <v>0.86840914332287156</v>
      </c>
    </row>
    <row r="356" spans="1:15" s="236" customFormat="1" x14ac:dyDescent="0.2">
      <c r="A356" s="237" t="str">
        <f>name!E$11</f>
        <v>Process, plant and machine operatives</v>
      </c>
      <c r="B356" s="302">
        <v>4.1732613815337771</v>
      </c>
      <c r="C356" s="302">
        <v>3.9157682249736328E-2</v>
      </c>
      <c r="D356" s="302">
        <v>0.12643629157728933</v>
      </c>
      <c r="E356" s="302">
        <f t="shared" si="161"/>
        <v>4.3388553553608027</v>
      </c>
      <c r="F356" s="303"/>
      <c r="G356" s="302">
        <v>3.3696015477383243</v>
      </c>
      <c r="H356" s="302">
        <v>5.0452524464735804E-2</v>
      </c>
      <c r="I356" s="302">
        <v>0.23984402887562606</v>
      </c>
      <c r="J356" s="302">
        <f t="shared" si="164"/>
        <v>3.659898101078686</v>
      </c>
      <c r="K356" s="303"/>
      <c r="L356" s="302">
        <v>3.9679925481345006</v>
      </c>
      <c r="M356" s="302">
        <v>7.3183379927033346E-2</v>
      </c>
      <c r="N356" s="302">
        <v>0.2975176209538351</v>
      </c>
      <c r="O356" s="302">
        <f t="shared" si="163"/>
        <v>4.3386935490153693</v>
      </c>
    </row>
    <row r="357" spans="1:15" s="236" customFormat="1" x14ac:dyDescent="0.2">
      <c r="A357" s="237" t="str">
        <f>name!E$12</f>
        <v>Elementary occupations</v>
      </c>
      <c r="B357" s="302">
        <v>0.75743563706340156</v>
      </c>
      <c r="C357" s="302">
        <v>3.7117107997189959E-2</v>
      </c>
      <c r="D357" s="302">
        <v>3.4405484534884768E-2</v>
      </c>
      <c r="E357" s="302">
        <f t="shared" si="161"/>
        <v>0.82895822959547627</v>
      </c>
      <c r="F357" s="303"/>
      <c r="G357" s="302">
        <v>0.61977399015579437</v>
      </c>
      <c r="H357" s="302">
        <v>4.7926473945159691E-2</v>
      </c>
      <c r="I357" s="302">
        <v>6.8727867677198642E-2</v>
      </c>
      <c r="J357" s="302">
        <f t="shared" si="164"/>
        <v>0.7364283317781527</v>
      </c>
      <c r="K357" s="303"/>
      <c r="L357" s="302">
        <v>0.44985914706483915</v>
      </c>
      <c r="M357" s="302">
        <v>3.7816056522926925E-2</v>
      </c>
      <c r="N357" s="302">
        <v>8.616803761931803E-2</v>
      </c>
      <c r="O357" s="302">
        <f t="shared" si="163"/>
        <v>0.57384324120708408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32</v>
      </c>
      <c r="B359" s="311">
        <f>SUM(B349:B357)</f>
        <v>31.690999999935929</v>
      </c>
      <c r="C359" s="311">
        <f t="shared" ref="C359:E359" si="165">SUM(C349:C357)</f>
        <v>0.52099999999811419</v>
      </c>
      <c r="D359" s="311">
        <f t="shared" si="165"/>
        <v>1.2419999999827356</v>
      </c>
      <c r="E359" s="311">
        <f t="shared" si="165"/>
        <v>33.453999999916782</v>
      </c>
      <c r="F359" s="311"/>
      <c r="G359" s="311">
        <f t="shared" ref="G359:J359" si="166">SUM(G349:G357)</f>
        <v>32.483000000009923</v>
      </c>
      <c r="H359" s="311">
        <f t="shared" si="166"/>
        <v>0.84900000000547449</v>
      </c>
      <c r="I359" s="311">
        <f t="shared" si="166"/>
        <v>2.1719999999837079</v>
      </c>
      <c r="J359" s="311">
        <f t="shared" si="166"/>
        <v>35.50399999999911</v>
      </c>
      <c r="K359" s="311"/>
      <c r="L359" s="311">
        <f t="shared" ref="L359:O359" si="167">SUM(L349:L357)</f>
        <v>33.1440000001474</v>
      </c>
      <c r="M359" s="311">
        <f t="shared" si="167"/>
        <v>0.92399999999127636</v>
      </c>
      <c r="N359" s="311">
        <f t="shared" si="167"/>
        <v>2.1889999999738357</v>
      </c>
      <c r="O359" s="311">
        <f t="shared" si="167"/>
        <v>36.257000000112512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name!A24</f>
        <v>Furniture</v>
      </c>
      <c r="B363" s="374">
        <f>$B$6</f>
        <v>2015</v>
      </c>
      <c r="C363" s="374"/>
      <c r="D363" s="374"/>
      <c r="E363" s="374"/>
      <c r="F363" s="263"/>
      <c r="G363" s="374">
        <f>$G$6</f>
        <v>2020</v>
      </c>
      <c r="H363" s="374"/>
      <c r="I363" s="374"/>
      <c r="J363" s="374"/>
      <c r="K363" s="263"/>
      <c r="L363" s="374">
        <f>$L$6</f>
        <v>2035</v>
      </c>
      <c r="M363" s="374"/>
      <c r="N363" s="374"/>
      <c r="O363" s="374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0.5539118061846896</v>
      </c>
      <c r="C366" s="302">
        <v>7.2320408719521251E-2</v>
      </c>
      <c r="D366" s="302">
        <v>0.10022044645985645</v>
      </c>
      <c r="E366" s="302">
        <f>SUM(B366:D366)</f>
        <v>0.72645266136406739</v>
      </c>
      <c r="F366" s="303"/>
      <c r="G366" s="302">
        <v>0.61202674366355569</v>
      </c>
      <c r="H366" s="302">
        <v>2.0159891287080973E-2</v>
      </c>
      <c r="I366" s="302">
        <v>4.8783461283170113E-2</v>
      </c>
      <c r="J366" s="302">
        <f>SUM(G366:I366)</f>
        <v>0.68097009623380678</v>
      </c>
      <c r="K366" s="303"/>
      <c r="L366" s="302">
        <v>0.5962612086413881</v>
      </c>
      <c r="M366" s="302">
        <v>1.708236478110025E-2</v>
      </c>
      <c r="N366" s="302">
        <v>4.8716947919684568E-2</v>
      </c>
      <c r="O366" s="302">
        <f>SUM(L366:N366)</f>
        <v>0.66206052134217297</v>
      </c>
    </row>
    <row r="367" spans="1:15" s="236" customFormat="1" x14ac:dyDescent="0.2">
      <c r="A367" s="237" t="str">
        <f>name!E$5</f>
        <v>Professional occupations</v>
      </c>
      <c r="B367" s="302">
        <v>0.46096379815925043</v>
      </c>
      <c r="C367" s="302">
        <v>5.0921175376637234E-2</v>
      </c>
      <c r="D367" s="302">
        <v>2.9675254793850733E-2</v>
      </c>
      <c r="E367" s="302">
        <f t="shared" ref="E367:E374" si="168">SUM(B367:D367)</f>
        <v>0.54156022832973838</v>
      </c>
      <c r="F367" s="303"/>
      <c r="G367" s="302">
        <v>0.56317652738144053</v>
      </c>
      <c r="H367" s="302">
        <v>2.2619237202394501E-2</v>
      </c>
      <c r="I367" s="302">
        <v>1.1956815342203081E-2</v>
      </c>
      <c r="J367" s="302">
        <f t="shared" ref="J367:J369" si="169">SUM(G367:I367)</f>
        <v>0.59775257992603803</v>
      </c>
      <c r="K367" s="303"/>
      <c r="L367" s="302">
        <v>0.63443103930727007</v>
      </c>
      <c r="M367" s="302">
        <v>2.5135020605756894E-2</v>
      </c>
      <c r="N367" s="302">
        <v>9.5954229462390933E-3</v>
      </c>
      <c r="O367" s="302">
        <f t="shared" ref="O367:O374" si="170">SUM(L367:N367)</f>
        <v>0.66916148285926602</v>
      </c>
    </row>
    <row r="368" spans="1:15" s="236" customFormat="1" x14ac:dyDescent="0.2">
      <c r="A368" s="237" t="str">
        <f>name!E$6</f>
        <v>Associate professional occupations</v>
      </c>
      <c r="B368" s="302">
        <v>0.407722100926183</v>
      </c>
      <c r="C368" s="302">
        <v>8.7178799855037681E-2</v>
      </c>
      <c r="D368" s="302">
        <v>3.0677040652929824E-2</v>
      </c>
      <c r="E368" s="302">
        <f t="shared" si="168"/>
        <v>0.52557794143415049</v>
      </c>
      <c r="F368" s="303"/>
      <c r="G368" s="302">
        <v>0.45566495454961237</v>
      </c>
      <c r="H368" s="302">
        <v>2.3390347702221658E-2</v>
      </c>
      <c r="I368" s="302">
        <v>1.4553421666256398E-2</v>
      </c>
      <c r="J368" s="302">
        <f t="shared" si="169"/>
        <v>0.49360872391809041</v>
      </c>
      <c r="K368" s="303"/>
      <c r="L368" s="302">
        <v>0.4224268166292327</v>
      </c>
      <c r="M368" s="302">
        <v>1.8199253627881336E-2</v>
      </c>
      <c r="N368" s="302">
        <v>1.1564391585713556E-2</v>
      </c>
      <c r="O368" s="302">
        <f t="shared" si="170"/>
        <v>0.45219046184282757</v>
      </c>
    </row>
    <row r="369" spans="1:15" s="236" customFormat="1" x14ac:dyDescent="0.2">
      <c r="A369" s="237" t="str">
        <f>name!E$7</f>
        <v>Administrative and secretarial occupations</v>
      </c>
      <c r="B369" s="302">
        <v>0.51917008356841121</v>
      </c>
      <c r="C369" s="302">
        <v>0.32913135873097005</v>
      </c>
      <c r="D369" s="302">
        <v>1.561174931132101E-2</v>
      </c>
      <c r="E369" s="302">
        <f t="shared" si="168"/>
        <v>0.86391319161070235</v>
      </c>
      <c r="F369" s="303"/>
      <c r="G369" s="302">
        <v>0.52508950202600613</v>
      </c>
      <c r="H369" s="302">
        <v>6.0599761203818672E-2</v>
      </c>
      <c r="I369" s="302">
        <v>1.9569022700831728E-2</v>
      </c>
      <c r="J369" s="302">
        <f t="shared" si="169"/>
        <v>0.60525828593065656</v>
      </c>
      <c r="K369" s="303"/>
      <c r="L369" s="302">
        <v>0.48858514650881513</v>
      </c>
      <c r="M369" s="302">
        <v>4.1862593112042247E-2</v>
      </c>
      <c r="N369" s="302">
        <v>1.1358308030059612E-2</v>
      </c>
      <c r="O369" s="302">
        <f t="shared" si="170"/>
        <v>0.541806047650917</v>
      </c>
    </row>
    <row r="370" spans="1:15" s="236" customFormat="1" x14ac:dyDescent="0.2">
      <c r="A370" s="237" t="str">
        <f>name!E$8</f>
        <v>Skilled trades occupations</v>
      </c>
      <c r="B370" s="302">
        <v>2.7078354083767109</v>
      </c>
      <c r="C370" s="302">
        <v>0.12039021902427399</v>
      </c>
      <c r="D370" s="302">
        <v>0.91497352678191979</v>
      </c>
      <c r="E370" s="302">
        <f t="shared" si="168"/>
        <v>3.7431991541829044</v>
      </c>
      <c r="F370" s="303"/>
      <c r="G370" s="302">
        <v>2.1782989988840993</v>
      </c>
      <c r="H370" s="302">
        <v>1.2101406339840625E-2</v>
      </c>
      <c r="I370" s="302">
        <v>0.32354117540073341</v>
      </c>
      <c r="J370" s="302">
        <f>SUM(G370:I370)</f>
        <v>2.5139415806246737</v>
      </c>
      <c r="K370" s="303"/>
      <c r="L370" s="302">
        <v>1.8639701799697355</v>
      </c>
      <c r="M370" s="302">
        <v>1.2906569125938447E-2</v>
      </c>
      <c r="N370" s="302">
        <v>0.30465218037562364</v>
      </c>
      <c r="O370" s="302">
        <f t="shared" si="170"/>
        <v>2.1815289294712974</v>
      </c>
    </row>
    <row r="371" spans="1:15" s="236" customFormat="1" x14ac:dyDescent="0.2">
      <c r="A371" s="237" t="str">
        <f>name!E$9</f>
        <v>Caring, leisure and other service occupations</v>
      </c>
      <c r="B371" s="302">
        <v>1.4529982358555361E-2</v>
      </c>
      <c r="C371" s="302">
        <v>1.6717106147130064E-2</v>
      </c>
      <c r="D371" s="302">
        <v>1.3568432176993333E-2</v>
      </c>
      <c r="E371" s="302">
        <f t="shared" si="168"/>
        <v>4.4815520682678758E-2</v>
      </c>
      <c r="F371" s="303"/>
      <c r="G371" s="302">
        <v>1.1915940521292587E-2</v>
      </c>
      <c r="H371" s="302">
        <v>9.2367292657843086E-3</v>
      </c>
      <c r="I371" s="302">
        <v>4.6736258209813142E-2</v>
      </c>
      <c r="J371" s="302">
        <f t="shared" ref="J371:J374" si="171">SUM(G371:I371)</f>
        <v>6.7888927996890031E-2</v>
      </c>
      <c r="K371" s="303"/>
      <c r="L371" s="302">
        <v>1.118187310302448E-2</v>
      </c>
      <c r="M371" s="302">
        <v>1.0537425786611024E-2</v>
      </c>
      <c r="N371" s="302">
        <v>4.098202481434534E-2</v>
      </c>
      <c r="O371" s="302">
        <f t="shared" si="170"/>
        <v>6.2701323703980849E-2</v>
      </c>
    </row>
    <row r="372" spans="1:15" s="236" customFormat="1" x14ac:dyDescent="0.2">
      <c r="A372" s="237" t="str">
        <f>name!E$10</f>
        <v>Sales and customer service occupations</v>
      </c>
      <c r="B372" s="302">
        <v>0.28700828796166694</v>
      </c>
      <c r="C372" s="302">
        <v>0.11029908300758864</v>
      </c>
      <c r="D372" s="302">
        <v>2.290191842943419E-2</v>
      </c>
      <c r="E372" s="302">
        <f t="shared" si="168"/>
        <v>0.42020928939868979</v>
      </c>
      <c r="F372" s="303"/>
      <c r="G372" s="302">
        <v>0.2638929487680598</v>
      </c>
      <c r="H372" s="302">
        <v>2.9862359621264836E-2</v>
      </c>
      <c r="I372" s="302">
        <v>1.0850712755787946E-2</v>
      </c>
      <c r="J372" s="302">
        <f t="shared" si="171"/>
        <v>0.30460602114511259</v>
      </c>
      <c r="K372" s="303"/>
      <c r="L372" s="302">
        <v>0.27472557740210957</v>
      </c>
      <c r="M372" s="302">
        <v>3.2253853479089163E-2</v>
      </c>
      <c r="N372" s="302">
        <v>8.1206074554932093E-3</v>
      </c>
      <c r="O372" s="302">
        <f t="shared" si="170"/>
        <v>0.31510003833669192</v>
      </c>
    </row>
    <row r="373" spans="1:15" s="236" customFormat="1" x14ac:dyDescent="0.2">
      <c r="A373" s="237" t="str">
        <f>name!E$11</f>
        <v>Process, plant and machine operatives</v>
      </c>
      <c r="B373" s="302">
        <v>0.80178593635983597</v>
      </c>
      <c r="C373" s="302">
        <v>8.2049161249232325E-2</v>
      </c>
      <c r="D373" s="302">
        <v>0.12483711145720279</v>
      </c>
      <c r="E373" s="302">
        <f t="shared" si="168"/>
        <v>1.0086722090662712</v>
      </c>
      <c r="F373" s="303"/>
      <c r="G373" s="302">
        <v>0.63733257927415565</v>
      </c>
      <c r="H373" s="302">
        <v>1.2017445840509353E-2</v>
      </c>
      <c r="I373" s="302">
        <v>0.24271614629700866</v>
      </c>
      <c r="J373" s="302">
        <f t="shared" si="171"/>
        <v>0.89206617141167366</v>
      </c>
      <c r="K373" s="303"/>
      <c r="L373" s="302">
        <v>0.62075846057134954</v>
      </c>
      <c r="M373" s="302">
        <v>1.621967626582747E-2</v>
      </c>
      <c r="N373" s="302">
        <v>0.24008675931511925</v>
      </c>
      <c r="O373" s="302">
        <f t="shared" si="170"/>
        <v>0.87706489615229621</v>
      </c>
    </row>
    <row r="374" spans="1:15" s="236" customFormat="1" x14ac:dyDescent="0.2">
      <c r="A374" s="237" t="str">
        <f>name!E$12</f>
        <v>Elementary occupations</v>
      </c>
      <c r="B374" s="302">
        <v>0.38207259610422661</v>
      </c>
      <c r="C374" s="302">
        <v>7.3992687889586739E-2</v>
      </c>
      <c r="D374" s="302">
        <v>3.2534519927972391E-2</v>
      </c>
      <c r="E374" s="302">
        <f t="shared" si="168"/>
        <v>0.48859980392178576</v>
      </c>
      <c r="F374" s="303"/>
      <c r="G374" s="302">
        <v>0.31160180496655321</v>
      </c>
      <c r="H374" s="302">
        <v>2.7012821539928549E-2</v>
      </c>
      <c r="I374" s="302">
        <v>5.9292986342664993E-2</v>
      </c>
      <c r="J374" s="302">
        <f t="shared" si="171"/>
        <v>0.39790761284914677</v>
      </c>
      <c r="K374" s="303"/>
      <c r="L374" s="302">
        <v>0.21265969793771716</v>
      </c>
      <c r="M374" s="302">
        <v>2.2803243215899074E-2</v>
      </c>
      <c r="N374" s="302">
        <v>4.7923357545458373E-2</v>
      </c>
      <c r="O374" s="302">
        <f t="shared" si="170"/>
        <v>0.28338629869907461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32</v>
      </c>
      <c r="B376" s="311">
        <f>SUM(B366:B374)</f>
        <v>6.1349999999995291</v>
      </c>
      <c r="C376" s="311">
        <f t="shared" ref="C376:E376" si="172">SUM(C366:C374)</f>
        <v>0.94299999999997786</v>
      </c>
      <c r="D376" s="311">
        <f t="shared" si="172"/>
        <v>1.2849999999914805</v>
      </c>
      <c r="E376" s="311">
        <f t="shared" si="172"/>
        <v>8.3629999999909881</v>
      </c>
      <c r="F376" s="311"/>
      <c r="G376" s="311">
        <f t="shared" ref="G376:J376" si="173">SUM(G366:G374)</f>
        <v>5.5590000000347759</v>
      </c>
      <c r="H376" s="311">
        <f t="shared" si="173"/>
        <v>0.2170000000028435</v>
      </c>
      <c r="I376" s="311">
        <f t="shared" si="173"/>
        <v>0.77799999999846947</v>
      </c>
      <c r="J376" s="311">
        <f t="shared" si="173"/>
        <v>6.5540000000360887</v>
      </c>
      <c r="K376" s="311"/>
      <c r="L376" s="311">
        <f t="shared" ref="L376:O376" si="174">SUM(L366:L374)</f>
        <v>5.1250000000706413</v>
      </c>
      <c r="M376" s="311">
        <f t="shared" si="174"/>
        <v>0.19700000000014589</v>
      </c>
      <c r="N376" s="311">
        <f t="shared" si="174"/>
        <v>0.72299999998773667</v>
      </c>
      <c r="O376" s="311">
        <f t="shared" si="174"/>
        <v>6.0450000000585247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name!A25</f>
        <v>Other manufacturing</v>
      </c>
      <c r="B380" s="374">
        <f>$B$6</f>
        <v>2015</v>
      </c>
      <c r="C380" s="374"/>
      <c r="D380" s="374"/>
      <c r="E380" s="374"/>
      <c r="F380" s="263"/>
      <c r="G380" s="374">
        <f>$G$6</f>
        <v>2020</v>
      </c>
      <c r="H380" s="374"/>
      <c r="I380" s="374"/>
      <c r="J380" s="374"/>
      <c r="K380" s="263"/>
      <c r="L380" s="374">
        <f>$L$6</f>
        <v>2035</v>
      </c>
      <c r="M380" s="374"/>
      <c r="N380" s="374"/>
      <c r="O380" s="374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0.7569495170047702</v>
      </c>
      <c r="C383" s="302">
        <v>4.4964861679919865E-2</v>
      </c>
      <c r="D383" s="302">
        <v>5.6574586498430446E-2</v>
      </c>
      <c r="E383" s="302">
        <f>SUM(B383:D383)</f>
        <v>0.85848896518312046</v>
      </c>
      <c r="F383" s="303"/>
      <c r="G383" s="302">
        <v>1.9292781362610862</v>
      </c>
      <c r="H383" s="302">
        <v>0.30727763906546246</v>
      </c>
      <c r="I383" s="302">
        <v>0.13926023971075943</v>
      </c>
      <c r="J383" s="302">
        <f>SUM(G383:I383)</f>
        <v>2.3758160150373082</v>
      </c>
      <c r="K383" s="303"/>
      <c r="L383" s="302">
        <v>1.9767123308145664</v>
      </c>
      <c r="M383" s="302">
        <v>0.27900021647854378</v>
      </c>
      <c r="N383" s="302">
        <v>0.12519868642544529</v>
      </c>
      <c r="O383" s="302">
        <f>SUM(L383:N383)</f>
        <v>2.3809112337185558</v>
      </c>
    </row>
    <row r="384" spans="1:15" s="236" customFormat="1" x14ac:dyDescent="0.2">
      <c r="A384" s="237" t="str">
        <f>name!E$5</f>
        <v>Professional occupations</v>
      </c>
      <c r="B384" s="302">
        <v>0.79093160955364283</v>
      </c>
      <c r="C384" s="302">
        <v>3.4024186787035726E-2</v>
      </c>
      <c r="D384" s="302">
        <v>2.3181115305307746E-2</v>
      </c>
      <c r="E384" s="302">
        <f t="shared" ref="E384:E391" si="175">SUM(B384:D384)</f>
        <v>0.84813691164598637</v>
      </c>
      <c r="F384" s="303"/>
      <c r="G384" s="302">
        <v>2.3475764427457517</v>
      </c>
      <c r="H384" s="302">
        <v>0.40126935996633056</v>
      </c>
      <c r="I384" s="302">
        <v>6.0932301735316677E-2</v>
      </c>
      <c r="J384" s="302">
        <f t="shared" ref="J384:J386" si="176">SUM(G384:I384)</f>
        <v>2.8097781044473988</v>
      </c>
      <c r="K384" s="303"/>
      <c r="L384" s="302">
        <v>2.8449749204261061</v>
      </c>
      <c r="M384" s="302">
        <v>0.50463116888846427</v>
      </c>
      <c r="N384" s="302">
        <v>6.2127602611983516E-2</v>
      </c>
      <c r="O384" s="302">
        <f t="shared" ref="O384:O391" si="177">SUM(L384:N384)</f>
        <v>3.4117336919265542</v>
      </c>
    </row>
    <row r="385" spans="1:15" s="236" customFormat="1" x14ac:dyDescent="0.2">
      <c r="A385" s="237" t="str">
        <f>name!E$6</f>
        <v>Associate professional occupations</v>
      </c>
      <c r="B385" s="302">
        <v>0.63344165539707931</v>
      </c>
      <c r="C385" s="302">
        <v>5.5966795079506554E-2</v>
      </c>
      <c r="D385" s="302">
        <v>1.9630416951594301E-2</v>
      </c>
      <c r="E385" s="302">
        <f t="shared" si="175"/>
        <v>0.70903886742818012</v>
      </c>
      <c r="F385" s="303"/>
      <c r="G385" s="302">
        <v>1.6030150833677537</v>
      </c>
      <c r="H385" s="302">
        <v>0.26507398007543975</v>
      </c>
      <c r="I385" s="302">
        <v>4.8171921718458986E-2</v>
      </c>
      <c r="J385" s="302">
        <f t="shared" si="176"/>
        <v>1.9162609851616526</v>
      </c>
      <c r="K385" s="303"/>
      <c r="L385" s="302">
        <v>1.4980986991782832</v>
      </c>
      <c r="M385" s="302">
        <v>0.20689285718835596</v>
      </c>
      <c r="N385" s="302">
        <v>3.9363461789585219E-2</v>
      </c>
      <c r="O385" s="302">
        <f t="shared" si="177"/>
        <v>1.7443550181562244</v>
      </c>
    </row>
    <row r="386" spans="1:15" s="236" customFormat="1" x14ac:dyDescent="0.2">
      <c r="A386" s="237" t="str">
        <f>name!E$7</f>
        <v>Administrative and secretarial occupations</v>
      </c>
      <c r="B386" s="302">
        <v>0.82212489126203336</v>
      </c>
      <c r="C386" s="302">
        <v>0.2167367749823042</v>
      </c>
      <c r="D386" s="302">
        <v>1.212427533938386E-2</v>
      </c>
      <c r="E386" s="302">
        <f t="shared" si="175"/>
        <v>1.0509859415837213</v>
      </c>
      <c r="F386" s="303"/>
      <c r="G386" s="302">
        <v>1.5427997119201629</v>
      </c>
      <c r="H386" s="302">
        <v>0.73641343206482524</v>
      </c>
      <c r="I386" s="302">
        <v>7.5548497950465768E-2</v>
      </c>
      <c r="J386" s="302">
        <f t="shared" si="176"/>
        <v>2.3547616419354536</v>
      </c>
      <c r="K386" s="303"/>
      <c r="L386" s="302">
        <v>1.059609997532595</v>
      </c>
      <c r="M386" s="302">
        <v>0.52304456202362914</v>
      </c>
      <c r="N386" s="302">
        <v>4.0630385436166531E-2</v>
      </c>
      <c r="O386" s="302">
        <f t="shared" si="177"/>
        <v>1.6232849449923907</v>
      </c>
    </row>
    <row r="387" spans="1:15" s="236" customFormat="1" x14ac:dyDescent="0.2">
      <c r="A387" s="237" t="str">
        <f>name!E$8</f>
        <v>Skilled trades occupations</v>
      </c>
      <c r="B387" s="302">
        <v>1.867012256873358</v>
      </c>
      <c r="C387" s="302">
        <v>6.8748410368269661E-2</v>
      </c>
      <c r="D387" s="302">
        <v>0.50302352726246435</v>
      </c>
      <c r="E387" s="302">
        <f t="shared" si="175"/>
        <v>2.438784194504092</v>
      </c>
      <c r="F387" s="303"/>
      <c r="G387" s="302">
        <v>3.4239077453347697</v>
      </c>
      <c r="H387" s="302">
        <v>0.18805895292537325</v>
      </c>
      <c r="I387" s="302">
        <v>0.86929984005377192</v>
      </c>
      <c r="J387" s="302">
        <f>SUM(G387:I387)</f>
        <v>4.481266538313915</v>
      </c>
      <c r="K387" s="303"/>
      <c r="L387" s="302">
        <v>2.8263921309056861</v>
      </c>
      <c r="M387" s="302">
        <v>0.21763924991266553</v>
      </c>
      <c r="N387" s="302">
        <v>0.69157144428188277</v>
      </c>
      <c r="O387" s="302">
        <f t="shared" si="177"/>
        <v>3.7356028251002344</v>
      </c>
    </row>
    <row r="388" spans="1:15" s="236" customFormat="1" x14ac:dyDescent="0.2">
      <c r="A388" s="237" t="str">
        <f>name!E$9</f>
        <v>Caring, leisure and other service occupations</v>
      </c>
      <c r="B388" s="302">
        <v>3.8792304002844051E-2</v>
      </c>
      <c r="C388" s="302">
        <v>1.1627434901214108E-2</v>
      </c>
      <c r="D388" s="302">
        <v>1.5946769878211489E-2</v>
      </c>
      <c r="E388" s="302">
        <f t="shared" si="175"/>
        <v>6.6366508782269656E-2</v>
      </c>
      <c r="F388" s="303"/>
      <c r="G388" s="302">
        <v>7.0331650324955683E-2</v>
      </c>
      <c r="H388" s="302">
        <v>4.7666393073051483E-2</v>
      </c>
      <c r="I388" s="302">
        <v>0.19039925850470271</v>
      </c>
      <c r="J388" s="302">
        <f t="shared" ref="J388:J391" si="178">SUM(G388:I388)</f>
        <v>0.30839730190270986</v>
      </c>
      <c r="K388" s="303"/>
      <c r="L388" s="302">
        <v>6.9263847485696584E-2</v>
      </c>
      <c r="M388" s="302">
        <v>3.4279962288263938E-2</v>
      </c>
      <c r="N388" s="302">
        <v>0.16597581710075132</v>
      </c>
      <c r="O388" s="302">
        <f t="shared" si="177"/>
        <v>0.26951962687471187</v>
      </c>
    </row>
    <row r="389" spans="1:15" s="236" customFormat="1" x14ac:dyDescent="0.2">
      <c r="A389" s="237" t="str">
        <f>name!E$10</f>
        <v>Sales and customer service occupations</v>
      </c>
      <c r="B389" s="302">
        <v>0.30874193560401636</v>
      </c>
      <c r="C389" s="302">
        <v>6.8047543072897843E-2</v>
      </c>
      <c r="D389" s="302">
        <v>1.4753656038534381E-2</v>
      </c>
      <c r="E389" s="302">
        <f t="shared" si="175"/>
        <v>0.3915431347154486</v>
      </c>
      <c r="F389" s="303"/>
      <c r="G389" s="302">
        <v>0.59224235019602334</v>
      </c>
      <c r="H389" s="302">
        <v>0.21065244523294233</v>
      </c>
      <c r="I389" s="302">
        <v>3.6897206321811843E-2</v>
      </c>
      <c r="J389" s="302">
        <f t="shared" si="178"/>
        <v>0.83979200175077751</v>
      </c>
      <c r="K389" s="303"/>
      <c r="L389" s="302">
        <v>0.55335940496003289</v>
      </c>
      <c r="M389" s="302">
        <v>0.17963750744802479</v>
      </c>
      <c r="N389" s="302">
        <v>2.637498495924125E-2</v>
      </c>
      <c r="O389" s="302">
        <f t="shared" si="177"/>
        <v>0.75937189736729893</v>
      </c>
    </row>
    <row r="390" spans="1:15" s="236" customFormat="1" x14ac:dyDescent="0.2">
      <c r="A390" s="237" t="str">
        <f>name!E$11</f>
        <v>Process, plant and machine operatives</v>
      </c>
      <c r="B390" s="302">
        <v>0.88985627023827907</v>
      </c>
      <c r="C390" s="302">
        <v>5.1108860123747053E-2</v>
      </c>
      <c r="D390" s="302">
        <v>0.10905104996426841</v>
      </c>
      <c r="E390" s="302">
        <f t="shared" si="175"/>
        <v>1.0500161803262946</v>
      </c>
      <c r="F390" s="303"/>
      <c r="G390" s="302">
        <v>1.4100124035687591</v>
      </c>
      <c r="H390" s="302">
        <v>0.27993710506440955</v>
      </c>
      <c r="I390" s="302">
        <v>0.95446774938107359</v>
      </c>
      <c r="J390" s="302">
        <f t="shared" si="178"/>
        <v>2.6444172580142422</v>
      </c>
      <c r="K390" s="303"/>
      <c r="L390" s="302">
        <v>1.2914375778474596</v>
      </c>
      <c r="M390" s="302">
        <v>0.32864346332205813</v>
      </c>
      <c r="N390" s="302">
        <v>0.93832965679593694</v>
      </c>
      <c r="O390" s="302">
        <f t="shared" si="177"/>
        <v>2.5584106979654546</v>
      </c>
    </row>
    <row r="391" spans="1:15" s="236" customFormat="1" x14ac:dyDescent="0.2">
      <c r="A391" s="237" t="str">
        <f>name!E$12</f>
        <v>Elementary occupations</v>
      </c>
      <c r="B391" s="302">
        <v>0.2891495600375788</v>
      </c>
      <c r="C391" s="302">
        <v>4.5775133004585952E-2</v>
      </c>
      <c r="D391" s="302">
        <v>3.771460275806611E-2</v>
      </c>
      <c r="E391" s="302">
        <f t="shared" si="175"/>
        <v>0.37263929580023086</v>
      </c>
      <c r="F391" s="303"/>
      <c r="G391" s="302">
        <v>0.49083647626742277</v>
      </c>
      <c r="H391" s="302">
        <v>0.1116506925721123</v>
      </c>
      <c r="I391" s="302">
        <v>0.24102298462200622</v>
      </c>
      <c r="J391" s="302">
        <f t="shared" si="178"/>
        <v>0.84351015346154123</v>
      </c>
      <c r="K391" s="303"/>
      <c r="L391" s="302">
        <v>0.28315109092408008</v>
      </c>
      <c r="M391" s="302">
        <v>5.4231012438153856E-2</v>
      </c>
      <c r="N391" s="302">
        <v>0.19442796056337119</v>
      </c>
      <c r="O391" s="302">
        <f t="shared" si="177"/>
        <v>0.53181006392560515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32</v>
      </c>
      <c r="B393" s="311">
        <f>SUM(B383:B391)</f>
        <v>6.3969999999736018</v>
      </c>
      <c r="C393" s="311">
        <f t="shared" ref="C393:E393" si="179">SUM(C383:C391)</f>
        <v>0.59699999999948083</v>
      </c>
      <c r="D393" s="311">
        <f t="shared" si="179"/>
        <v>0.79199999999626125</v>
      </c>
      <c r="E393" s="311">
        <f t="shared" si="179"/>
        <v>7.785999999969345</v>
      </c>
      <c r="F393" s="311"/>
      <c r="G393" s="311">
        <f t="shared" ref="G393:J393" si="180">SUM(G383:G391)</f>
        <v>13.409999999986686</v>
      </c>
      <c r="H393" s="311">
        <f t="shared" si="180"/>
        <v>2.5480000000399468</v>
      </c>
      <c r="I393" s="311">
        <f t="shared" si="180"/>
        <v>2.6159999999983672</v>
      </c>
      <c r="J393" s="311">
        <f t="shared" si="180"/>
        <v>18.574000000025002</v>
      </c>
      <c r="K393" s="311"/>
      <c r="L393" s="311">
        <f t="shared" ref="L393:O393" si="181">SUM(L383:L391)</f>
        <v>12.403000000074506</v>
      </c>
      <c r="M393" s="311">
        <f t="shared" si="181"/>
        <v>2.3279999999881591</v>
      </c>
      <c r="N393" s="311">
        <f t="shared" si="181"/>
        <v>2.2839999999643639</v>
      </c>
      <c r="O393" s="311">
        <f t="shared" si="181"/>
        <v>17.01500000002703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2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2">
      <c r="A397" s="241" t="str">
        <f>name!A26</f>
        <v>Repair and installation</v>
      </c>
      <c r="B397" s="374">
        <f>$B$6</f>
        <v>2015</v>
      </c>
      <c r="C397" s="374"/>
      <c r="D397" s="374"/>
      <c r="E397" s="374"/>
      <c r="F397" s="263"/>
      <c r="G397" s="374">
        <f>$G$6</f>
        <v>2020</v>
      </c>
      <c r="H397" s="374"/>
      <c r="I397" s="374"/>
      <c r="J397" s="374"/>
      <c r="K397" s="263"/>
      <c r="L397" s="374">
        <f>$L$6</f>
        <v>2035</v>
      </c>
      <c r="M397" s="374"/>
      <c r="N397" s="374"/>
      <c r="O397" s="374"/>
    </row>
    <row r="398" spans="1:15" s="236" customFormat="1" x14ac:dyDescent="0.2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2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2">
      <c r="A400" s="237" t="str">
        <f>name!E$4</f>
        <v>Managers, directors and senior officials</v>
      </c>
      <c r="B400" s="302">
        <v>0.85174432537428824</v>
      </c>
      <c r="C400" s="302">
        <v>8.9139498277081397E-2</v>
      </c>
      <c r="D400" s="302">
        <v>0.40654205785640352</v>
      </c>
      <c r="E400" s="302">
        <f>SUM(B400:D400)</f>
        <v>1.3474258815077733</v>
      </c>
      <c r="F400" s="303"/>
      <c r="G400" s="302">
        <v>0.84341558647111858</v>
      </c>
      <c r="H400" s="302">
        <v>0.12754630902085518</v>
      </c>
      <c r="I400" s="302">
        <v>0.41329833122490794</v>
      </c>
      <c r="J400" s="302">
        <f>SUM(G400:I400)</f>
        <v>1.3842602267168818</v>
      </c>
      <c r="K400" s="303"/>
      <c r="L400" s="302">
        <v>0.77611459508313896</v>
      </c>
      <c r="M400" s="302">
        <v>0.12212788643971552</v>
      </c>
      <c r="N400" s="302">
        <v>0.4128362018609133</v>
      </c>
      <c r="O400" s="302">
        <f>SUM(L400:N400)</f>
        <v>1.3110786833837678</v>
      </c>
    </row>
    <row r="401" spans="1:15" s="236" customFormat="1" x14ac:dyDescent="0.2">
      <c r="A401" s="237" t="str">
        <f>name!E$5</f>
        <v>Professional occupations</v>
      </c>
      <c r="B401" s="302">
        <v>1.5982733219861909</v>
      </c>
      <c r="C401" s="302">
        <v>8.3197339678218268E-2</v>
      </c>
      <c r="D401" s="302">
        <v>0.28817126942065785</v>
      </c>
      <c r="E401" s="302">
        <f t="shared" ref="E401:E408" si="182">SUM(B401:D401)</f>
        <v>1.969641931085067</v>
      </c>
      <c r="F401" s="303"/>
      <c r="G401" s="302">
        <v>1.7681904042823888</v>
      </c>
      <c r="H401" s="302">
        <v>0.11618417555314153</v>
      </c>
      <c r="I401" s="302">
        <v>0.23889624691694386</v>
      </c>
      <c r="J401" s="302">
        <f t="shared" ref="J401:J403" si="183">SUM(G401:I401)</f>
        <v>2.1232708267524742</v>
      </c>
      <c r="K401" s="303"/>
      <c r="L401" s="302">
        <v>1.8304990907723659</v>
      </c>
      <c r="M401" s="302">
        <v>0.11381510516918802</v>
      </c>
      <c r="N401" s="302">
        <v>0.20542697181761146</v>
      </c>
      <c r="O401" s="302">
        <f t="shared" ref="O401:O408" si="184">SUM(L401:N401)</f>
        <v>2.1497411677591654</v>
      </c>
    </row>
    <row r="402" spans="1:15" s="236" customFormat="1" x14ac:dyDescent="0.2">
      <c r="A402" s="237" t="str">
        <f>name!E$6</f>
        <v>Associate professional occupations</v>
      </c>
      <c r="B402" s="302">
        <v>0.71228882761083345</v>
      </c>
      <c r="C402" s="302">
        <v>8.8462753812383721E-2</v>
      </c>
      <c r="D402" s="302">
        <v>0.13992266474103479</v>
      </c>
      <c r="E402" s="302">
        <f t="shared" si="182"/>
        <v>0.94067424616425188</v>
      </c>
      <c r="F402" s="303"/>
      <c r="G402" s="302">
        <v>0.7524937332300965</v>
      </c>
      <c r="H402" s="302">
        <v>0.10125474342745801</v>
      </c>
      <c r="I402" s="302">
        <v>0.10417308222581385</v>
      </c>
      <c r="J402" s="302">
        <f t="shared" si="183"/>
        <v>0.95792155888336838</v>
      </c>
      <c r="K402" s="303"/>
      <c r="L402" s="302">
        <v>0.62296301630075146</v>
      </c>
      <c r="M402" s="302">
        <v>7.8184494758382544E-2</v>
      </c>
      <c r="N402" s="302">
        <v>9.3813446467916062E-2</v>
      </c>
      <c r="O402" s="302">
        <f t="shared" si="184"/>
        <v>0.79496095752704998</v>
      </c>
    </row>
    <row r="403" spans="1:15" s="236" customFormat="1" x14ac:dyDescent="0.2">
      <c r="A403" s="237" t="str">
        <f>name!E$7</f>
        <v>Administrative and secretarial occupations</v>
      </c>
      <c r="B403" s="302">
        <v>0.30230394984984182</v>
      </c>
      <c r="C403" s="302">
        <v>0.23552438117372468</v>
      </c>
      <c r="D403" s="302">
        <v>5.0861901969117704E-2</v>
      </c>
      <c r="E403" s="302">
        <f t="shared" si="182"/>
        <v>0.58869023299268419</v>
      </c>
      <c r="F403" s="303"/>
      <c r="G403" s="302">
        <v>0.28356410161342793</v>
      </c>
      <c r="H403" s="302">
        <v>0.21026816401095363</v>
      </c>
      <c r="I403" s="302">
        <v>6.9712802103900809E-2</v>
      </c>
      <c r="J403" s="302">
        <f t="shared" si="183"/>
        <v>0.56354506772828239</v>
      </c>
      <c r="K403" s="303"/>
      <c r="L403" s="302">
        <v>0.27552259801481005</v>
      </c>
      <c r="M403" s="302">
        <v>0.13833196071310327</v>
      </c>
      <c r="N403" s="302">
        <v>4.4984170381986287E-2</v>
      </c>
      <c r="O403" s="302">
        <f t="shared" si="184"/>
        <v>0.45883872910989959</v>
      </c>
    </row>
    <row r="404" spans="1:15" s="236" customFormat="1" x14ac:dyDescent="0.2">
      <c r="A404" s="237" t="str">
        <f>name!E$8</f>
        <v>Skilled trades occupations</v>
      </c>
      <c r="B404" s="302">
        <v>2.3229240191950704</v>
      </c>
      <c r="C404" s="302">
        <v>0.11139570131554166</v>
      </c>
      <c r="D404" s="302">
        <v>0.60919100404737869</v>
      </c>
      <c r="E404" s="302">
        <f t="shared" si="182"/>
        <v>3.0435107245579909</v>
      </c>
      <c r="F404" s="303"/>
      <c r="G404" s="302">
        <v>1.7525282439824272</v>
      </c>
      <c r="H404" s="302">
        <v>8.7820338597604491E-2</v>
      </c>
      <c r="I404" s="302">
        <v>0.37280806120891474</v>
      </c>
      <c r="J404" s="302">
        <f>SUM(G404:I404)</f>
        <v>2.2131566437889463</v>
      </c>
      <c r="K404" s="303"/>
      <c r="L404" s="302">
        <v>1.360442236854885</v>
      </c>
      <c r="M404" s="302">
        <v>0.11224168394812799</v>
      </c>
      <c r="N404" s="302">
        <v>0.45261114095548804</v>
      </c>
      <c r="O404" s="302">
        <f t="shared" si="184"/>
        <v>1.925295061758501</v>
      </c>
    </row>
    <row r="405" spans="1:15" s="236" customFormat="1" x14ac:dyDescent="0.2">
      <c r="A405" s="237" t="str">
        <f>name!E$9</f>
        <v>Caring, leisure and other service occupations</v>
      </c>
      <c r="B405" s="302">
        <v>3.100843202621318E-2</v>
      </c>
      <c r="C405" s="302">
        <v>2.425923502094323E-2</v>
      </c>
      <c r="D405" s="302">
        <v>3.503608377651625E-2</v>
      </c>
      <c r="E405" s="302">
        <f t="shared" si="182"/>
        <v>9.030375082367266E-2</v>
      </c>
      <c r="F405" s="303"/>
      <c r="G405" s="302">
        <v>2.8045317613764675E-2</v>
      </c>
      <c r="H405" s="302">
        <v>2.0832701252670262E-2</v>
      </c>
      <c r="I405" s="302">
        <v>4.5008197179777609E-2</v>
      </c>
      <c r="J405" s="302">
        <f t="shared" ref="J405:J408" si="185">SUM(G405:I405)</f>
        <v>9.3886216046212542E-2</v>
      </c>
      <c r="K405" s="303"/>
      <c r="L405" s="302">
        <v>3.7906064447449775E-2</v>
      </c>
      <c r="M405" s="302">
        <v>1.6956748918006106E-2</v>
      </c>
      <c r="N405" s="302">
        <v>7.0841939205827403E-2</v>
      </c>
      <c r="O405" s="302">
        <f t="shared" si="184"/>
        <v>0.12570475257128327</v>
      </c>
    </row>
    <row r="406" spans="1:15" s="236" customFormat="1" x14ac:dyDescent="0.2">
      <c r="A406" s="237" t="str">
        <f>name!E$10</f>
        <v>Sales and customer service occupations</v>
      </c>
      <c r="B406" s="302">
        <v>0.14693355944397021</v>
      </c>
      <c r="C406" s="302">
        <v>7.7274285999981832E-2</v>
      </c>
      <c r="D406" s="302">
        <v>4.1807370487722664E-2</v>
      </c>
      <c r="E406" s="302">
        <f t="shared" si="182"/>
        <v>0.26601521593167471</v>
      </c>
      <c r="F406" s="303"/>
      <c r="G406" s="302">
        <v>0.12290986303591181</v>
      </c>
      <c r="H406" s="302">
        <v>7.3437624405155486E-2</v>
      </c>
      <c r="I406" s="302">
        <v>3.3134015251343754E-2</v>
      </c>
      <c r="J406" s="302">
        <f t="shared" si="185"/>
        <v>0.22948150269241102</v>
      </c>
      <c r="K406" s="303"/>
      <c r="L406" s="302">
        <v>0.13881809805984882</v>
      </c>
      <c r="M406" s="302">
        <v>7.2145822554112296E-2</v>
      </c>
      <c r="N406" s="302">
        <v>2.8673066786314257E-2</v>
      </c>
      <c r="O406" s="302">
        <f t="shared" si="184"/>
        <v>0.23963698740027539</v>
      </c>
    </row>
    <row r="407" spans="1:15" s="236" customFormat="1" x14ac:dyDescent="0.2">
      <c r="A407" s="237" t="str">
        <f>name!E$11</f>
        <v>Process, plant and machine operatives</v>
      </c>
      <c r="B407" s="302">
        <v>1.2444621760411965</v>
      </c>
      <c r="C407" s="302">
        <v>0.13610587820243691</v>
      </c>
      <c r="D407" s="302">
        <v>9.5432336096447773E-2</v>
      </c>
      <c r="E407" s="302">
        <f t="shared" si="182"/>
        <v>1.4760003903400811</v>
      </c>
      <c r="F407" s="303"/>
      <c r="G407" s="302">
        <v>0.86523940472669625</v>
      </c>
      <c r="H407" s="302">
        <v>0.12599535905365061</v>
      </c>
      <c r="I407" s="302">
        <v>9.7908809855352663E-2</v>
      </c>
      <c r="J407" s="302">
        <f t="shared" si="185"/>
        <v>1.0891435736356996</v>
      </c>
      <c r="K407" s="303"/>
      <c r="L407" s="302">
        <v>0.91496293303839993</v>
      </c>
      <c r="M407" s="302">
        <v>0.14773621070546572</v>
      </c>
      <c r="N407" s="302">
        <v>0.12899269554361581</v>
      </c>
      <c r="O407" s="302">
        <f t="shared" si="184"/>
        <v>1.1916918392874813</v>
      </c>
    </row>
    <row r="408" spans="1:15" s="236" customFormat="1" x14ac:dyDescent="0.2">
      <c r="A408" s="237" t="str">
        <f>name!E$12</f>
        <v>Elementary occupations</v>
      </c>
      <c r="B408" s="302">
        <v>0.23706138845536559</v>
      </c>
      <c r="C408" s="302">
        <v>6.0640926517727761E-2</v>
      </c>
      <c r="D408" s="302">
        <v>4.8035311615435887E-2</v>
      </c>
      <c r="E408" s="302">
        <f t="shared" si="182"/>
        <v>0.34573762658852925</v>
      </c>
      <c r="F408" s="303"/>
      <c r="G408" s="302">
        <v>0.16361334504188985</v>
      </c>
      <c r="H408" s="302">
        <v>5.0660584687289026E-2</v>
      </c>
      <c r="I408" s="302">
        <v>4.0060454036245134E-2</v>
      </c>
      <c r="J408" s="302">
        <f t="shared" si="185"/>
        <v>0.254334383765424</v>
      </c>
      <c r="K408" s="303"/>
      <c r="L408" s="302">
        <v>0.10377136744858001</v>
      </c>
      <c r="M408" s="302">
        <v>3.2460086789600447E-2</v>
      </c>
      <c r="N408" s="302">
        <v>4.0820366991607383E-2</v>
      </c>
      <c r="O408" s="302">
        <f t="shared" si="184"/>
        <v>0.17705182122978783</v>
      </c>
    </row>
    <row r="409" spans="1:15" s="236" customFormat="1" x14ac:dyDescent="0.2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2">
      <c r="A410" s="244" t="s">
        <v>32</v>
      </c>
      <c r="B410" s="311">
        <f>SUM(B400:B408)</f>
        <v>7.4469999999829684</v>
      </c>
      <c r="C410" s="311">
        <f t="shared" ref="C410:E410" si="186">SUM(C400:C408)</f>
        <v>0.90599999999803948</v>
      </c>
      <c r="D410" s="311">
        <f t="shared" si="186"/>
        <v>1.7150000000107151</v>
      </c>
      <c r="E410" s="311">
        <f t="shared" si="186"/>
        <v>10.067999999991727</v>
      </c>
      <c r="F410" s="311"/>
      <c r="G410" s="311">
        <f t="shared" ref="G410:J410" si="187">SUM(G400:G408)</f>
        <v>6.5799999999977219</v>
      </c>
      <c r="H410" s="311">
        <f t="shared" si="187"/>
        <v>0.91400000000877812</v>
      </c>
      <c r="I410" s="311">
        <f t="shared" si="187"/>
        <v>1.4150000000032004</v>
      </c>
      <c r="J410" s="311">
        <f t="shared" si="187"/>
        <v>8.9090000000097014</v>
      </c>
      <c r="K410" s="311"/>
      <c r="L410" s="311">
        <f t="shared" ref="L410:O410" si="188">SUM(L400:L408)</f>
        <v>6.0610000000202291</v>
      </c>
      <c r="M410" s="311">
        <f t="shared" si="188"/>
        <v>0.83399999999570185</v>
      </c>
      <c r="N410" s="311">
        <f t="shared" si="188"/>
        <v>1.47900000001128</v>
      </c>
      <c r="O410" s="311">
        <f t="shared" si="188"/>
        <v>8.3740000000272126</v>
      </c>
    </row>
    <row r="411" spans="1:15" s="236" customFormat="1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2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2">
      <c r="A414" s="241" t="str">
        <f>name!A27</f>
        <v>Electricity, gas, etc</v>
      </c>
      <c r="B414" s="374">
        <f>$B$6</f>
        <v>2015</v>
      </c>
      <c r="C414" s="374"/>
      <c r="D414" s="374"/>
      <c r="E414" s="374"/>
      <c r="F414" s="263"/>
      <c r="G414" s="374">
        <f>$G$6</f>
        <v>2020</v>
      </c>
      <c r="H414" s="374"/>
      <c r="I414" s="374"/>
      <c r="J414" s="374"/>
      <c r="K414" s="263"/>
      <c r="L414" s="374">
        <f>$L$6</f>
        <v>2035</v>
      </c>
      <c r="M414" s="374"/>
      <c r="N414" s="374"/>
      <c r="O414" s="374"/>
    </row>
    <row r="415" spans="1:15" s="236" customFormat="1" x14ac:dyDescent="0.2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2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2">
      <c r="A417" s="237" t="str">
        <f>name!E$4</f>
        <v>Managers, directors and senior officials</v>
      </c>
      <c r="B417" s="302">
        <v>0.42752555388005875</v>
      </c>
      <c r="C417" s="302">
        <v>1.605572883970556E-2</v>
      </c>
      <c r="D417" s="302">
        <v>4.125398465346055E-2</v>
      </c>
      <c r="E417" s="302">
        <f>SUM(B417:D417)</f>
        <v>0.48483526737322485</v>
      </c>
      <c r="F417" s="303"/>
      <c r="G417" s="302">
        <v>0.99126054028113109</v>
      </c>
      <c r="H417" s="302">
        <v>8.5533058531704467E-2</v>
      </c>
      <c r="I417" s="302">
        <v>0</v>
      </c>
      <c r="J417" s="302">
        <f>SUM(G417:I417)</f>
        <v>1.0767935988128357</v>
      </c>
      <c r="K417" s="303"/>
      <c r="L417" s="302">
        <v>0.92779158061396261</v>
      </c>
      <c r="M417" s="302">
        <v>8.675817881157484E-2</v>
      </c>
      <c r="N417" s="302">
        <v>0</v>
      </c>
      <c r="O417" s="302">
        <f>SUM(L417:N417)</f>
        <v>1.0145497594255375</v>
      </c>
    </row>
    <row r="418" spans="1:15" s="236" customFormat="1" x14ac:dyDescent="0.2">
      <c r="A418" s="237" t="str">
        <f>name!E$5</f>
        <v>Professional occupations</v>
      </c>
      <c r="B418" s="302">
        <v>1.1989937259942163</v>
      </c>
      <c r="C418" s="302">
        <v>2.0598342238711362E-2</v>
      </c>
      <c r="D418" s="302">
        <v>5.2517797702901853E-2</v>
      </c>
      <c r="E418" s="302">
        <f t="shared" ref="E418:E425" si="189">SUM(B418:D418)</f>
        <v>1.2721098659358294</v>
      </c>
      <c r="F418" s="303"/>
      <c r="G418" s="302">
        <v>3.1120863705198398</v>
      </c>
      <c r="H418" s="302">
        <v>0.11474096075477744</v>
      </c>
      <c r="I418" s="302">
        <v>0</v>
      </c>
      <c r="J418" s="302">
        <f t="shared" ref="J418:J420" si="190">SUM(G418:I418)</f>
        <v>3.2268273312746172</v>
      </c>
      <c r="K418" s="303"/>
      <c r="L418" s="302">
        <v>3.0739231591763398</v>
      </c>
      <c r="M418" s="302">
        <v>0.11412862206766042</v>
      </c>
      <c r="N418" s="302">
        <v>0</v>
      </c>
      <c r="O418" s="302">
        <f t="shared" ref="O418:O425" si="191">SUM(L418:N418)</f>
        <v>3.1880517812440003</v>
      </c>
    </row>
    <row r="419" spans="1:15" s="236" customFormat="1" x14ac:dyDescent="0.2">
      <c r="A419" s="237" t="str">
        <f>name!E$6</f>
        <v>Associate professional occupations</v>
      </c>
      <c r="B419" s="302">
        <v>0.80507011869965073</v>
      </c>
      <c r="C419" s="302">
        <v>3.091133213886272E-2</v>
      </c>
      <c r="D419" s="302">
        <v>2.4967303369781021E-2</v>
      </c>
      <c r="E419" s="302">
        <f t="shared" si="189"/>
        <v>0.86094875420829453</v>
      </c>
      <c r="F419" s="303"/>
      <c r="G419" s="302">
        <v>2.0017302932479408</v>
      </c>
      <c r="H419" s="302">
        <v>0.13017622091555214</v>
      </c>
      <c r="I419" s="302">
        <v>0</v>
      </c>
      <c r="J419" s="302">
        <f t="shared" si="190"/>
        <v>2.131906514163493</v>
      </c>
      <c r="K419" s="303"/>
      <c r="L419" s="302">
        <v>1.5764101677579674</v>
      </c>
      <c r="M419" s="302">
        <v>0.11955559744168068</v>
      </c>
      <c r="N419" s="302">
        <v>0</v>
      </c>
      <c r="O419" s="302">
        <f t="shared" si="191"/>
        <v>1.695965765199648</v>
      </c>
    </row>
    <row r="420" spans="1:15" s="236" customFormat="1" x14ac:dyDescent="0.2">
      <c r="A420" s="237" t="str">
        <f>name!E$7</f>
        <v>Administrative and secretarial occupations</v>
      </c>
      <c r="B420" s="302">
        <v>1.291500410208837</v>
      </c>
      <c r="C420" s="302">
        <v>9.1808298419901666E-2</v>
      </c>
      <c r="D420" s="302">
        <v>1.6878299112239488E-2</v>
      </c>
      <c r="E420" s="302">
        <f t="shared" si="189"/>
        <v>1.4001870077409782</v>
      </c>
      <c r="F420" s="303"/>
      <c r="G420" s="302">
        <v>2.6099931612766598</v>
      </c>
      <c r="H420" s="302">
        <v>0.34022665217589304</v>
      </c>
      <c r="I420" s="302">
        <v>0</v>
      </c>
      <c r="J420" s="302">
        <f t="shared" si="190"/>
        <v>2.950219813452553</v>
      </c>
      <c r="K420" s="303"/>
      <c r="L420" s="302">
        <v>2.0091800633102985</v>
      </c>
      <c r="M420" s="302">
        <v>0.23104484231669931</v>
      </c>
      <c r="N420" s="302">
        <v>0</v>
      </c>
      <c r="O420" s="302">
        <f t="shared" si="191"/>
        <v>2.2402249056269978</v>
      </c>
    </row>
    <row r="421" spans="1:15" s="236" customFormat="1" x14ac:dyDescent="0.2">
      <c r="A421" s="237" t="str">
        <f>name!E$8</f>
        <v>Skilled trades occupations</v>
      </c>
      <c r="B421" s="302">
        <v>0.85309328180260968</v>
      </c>
      <c r="C421" s="302">
        <v>1.3040424685324518E-2</v>
      </c>
      <c r="D421" s="302">
        <v>4.7720345610482599E-2</v>
      </c>
      <c r="E421" s="302">
        <f t="shared" si="189"/>
        <v>0.91385405209841675</v>
      </c>
      <c r="F421" s="303"/>
      <c r="G421" s="302">
        <v>1.4559310902274982</v>
      </c>
      <c r="H421" s="302">
        <v>5.5291864704357277E-2</v>
      </c>
      <c r="I421" s="302">
        <v>0</v>
      </c>
      <c r="J421" s="302">
        <f>SUM(G421:I421)</f>
        <v>1.5112229549318554</v>
      </c>
      <c r="K421" s="303"/>
      <c r="L421" s="302">
        <v>1.1109451359158431</v>
      </c>
      <c r="M421" s="302">
        <v>4.296003092933507E-2</v>
      </c>
      <c r="N421" s="302">
        <v>0</v>
      </c>
      <c r="O421" s="302">
        <f t="shared" si="191"/>
        <v>1.1539051668451781</v>
      </c>
    </row>
    <row r="422" spans="1:15" s="236" customFormat="1" x14ac:dyDescent="0.2">
      <c r="A422" s="237" t="str">
        <f>name!E$9</f>
        <v>Caring, leisure and other service occupations</v>
      </c>
      <c r="B422" s="302">
        <v>0.15677134828100056</v>
      </c>
      <c r="C422" s="302">
        <v>1.7255354637414837E-2</v>
      </c>
      <c r="D422" s="302">
        <v>4.475019153199063E-3</v>
      </c>
      <c r="E422" s="302">
        <f t="shared" si="189"/>
        <v>0.17850172207161447</v>
      </c>
      <c r="F422" s="303"/>
      <c r="G422" s="302">
        <v>0.32972751417179924</v>
      </c>
      <c r="H422" s="302">
        <v>7.3833657396982E-2</v>
      </c>
      <c r="I422" s="302">
        <v>0</v>
      </c>
      <c r="J422" s="302">
        <f t="shared" ref="J422:J425" si="192">SUM(G422:I422)</f>
        <v>0.40356117156878124</v>
      </c>
      <c r="K422" s="303"/>
      <c r="L422" s="302">
        <v>0.3625053852287935</v>
      </c>
      <c r="M422" s="302">
        <v>6.0472764505386495E-2</v>
      </c>
      <c r="N422" s="302">
        <v>0</v>
      </c>
      <c r="O422" s="302">
        <f t="shared" si="191"/>
        <v>0.42297814973418002</v>
      </c>
    </row>
    <row r="423" spans="1:15" s="236" customFormat="1" x14ac:dyDescent="0.2">
      <c r="A423" s="237" t="str">
        <f>name!E$10</f>
        <v>Sales and customer service occupations</v>
      </c>
      <c r="B423" s="302">
        <v>1.0808878391828598</v>
      </c>
      <c r="C423" s="302">
        <v>0.14651157375322579</v>
      </c>
      <c r="D423" s="302">
        <v>7.6388922473056481E-2</v>
      </c>
      <c r="E423" s="302">
        <f t="shared" si="189"/>
        <v>1.3037883354091422</v>
      </c>
      <c r="F423" s="303"/>
      <c r="G423" s="302">
        <v>2.2283071907486218</v>
      </c>
      <c r="H423" s="302">
        <v>0.751685382367828</v>
      </c>
      <c r="I423" s="302">
        <v>0</v>
      </c>
      <c r="J423" s="302">
        <f t="shared" si="192"/>
        <v>2.9799925731164496</v>
      </c>
      <c r="K423" s="303"/>
      <c r="L423" s="302">
        <v>2.5119000890722556</v>
      </c>
      <c r="M423" s="302">
        <v>0.81879965129431298</v>
      </c>
      <c r="N423" s="302">
        <v>0</v>
      </c>
      <c r="O423" s="302">
        <f t="shared" si="191"/>
        <v>3.3306997403665686</v>
      </c>
    </row>
    <row r="424" spans="1:15" s="236" customFormat="1" x14ac:dyDescent="0.2">
      <c r="A424" s="237" t="str">
        <f>name!E$11</f>
        <v>Process, plant and machine operatives</v>
      </c>
      <c r="B424" s="302">
        <v>0.41030181596087584</v>
      </c>
      <c r="C424" s="302">
        <v>5.9511095286070336E-3</v>
      </c>
      <c r="D424" s="302">
        <v>2.5897312250327847E-2</v>
      </c>
      <c r="E424" s="302">
        <f t="shared" si="189"/>
        <v>0.44215023773981077</v>
      </c>
      <c r="F424" s="303"/>
      <c r="G424" s="302">
        <v>0.6984907164734242</v>
      </c>
      <c r="H424" s="302">
        <v>4.1998171480745271E-2</v>
      </c>
      <c r="I424" s="302">
        <v>0</v>
      </c>
      <c r="J424" s="302">
        <f t="shared" si="192"/>
        <v>0.74048888795416945</v>
      </c>
      <c r="K424" s="303"/>
      <c r="L424" s="302">
        <v>0.76586855687981037</v>
      </c>
      <c r="M424" s="302">
        <v>5.4535462201529585E-2</v>
      </c>
      <c r="N424" s="302">
        <v>0</v>
      </c>
      <c r="O424" s="302">
        <f t="shared" si="191"/>
        <v>0.82040401908133997</v>
      </c>
    </row>
    <row r="425" spans="1:15" s="236" customFormat="1" x14ac:dyDescent="0.2">
      <c r="A425" s="237" t="str">
        <f>name!E$12</f>
        <v>Elementary occupations</v>
      </c>
      <c r="B425" s="302">
        <v>0.14085590594838299</v>
      </c>
      <c r="C425" s="302">
        <v>3.0867835758425749E-2</v>
      </c>
      <c r="D425" s="302">
        <v>5.901015675276673E-3</v>
      </c>
      <c r="E425" s="302">
        <f t="shared" si="189"/>
        <v>0.17762475738208541</v>
      </c>
      <c r="F425" s="303"/>
      <c r="G425" s="302">
        <v>0.25047312298499641</v>
      </c>
      <c r="H425" s="302">
        <v>8.0514031694997434E-2</v>
      </c>
      <c r="I425" s="302">
        <v>0</v>
      </c>
      <c r="J425" s="302">
        <f t="shared" si="192"/>
        <v>0.33098715467999384</v>
      </c>
      <c r="K425" s="303"/>
      <c r="L425" s="302">
        <v>0.16347586195724889</v>
      </c>
      <c r="M425" s="302">
        <v>3.7744850416923929E-2</v>
      </c>
      <c r="N425" s="302">
        <v>0</v>
      </c>
      <c r="O425" s="302">
        <f t="shared" si="191"/>
        <v>0.20122071237417283</v>
      </c>
    </row>
    <row r="426" spans="1:15" s="236" customFormat="1" x14ac:dyDescent="0.2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2">
      <c r="A427" s="244" t="s">
        <v>32</v>
      </c>
      <c r="B427" s="311">
        <f>SUM(B417:B425)</f>
        <v>6.3649999999584921</v>
      </c>
      <c r="C427" s="311">
        <f t="shared" ref="C427:E427" si="193">SUM(C417:C425)</f>
        <v>0.37300000000017919</v>
      </c>
      <c r="D427" s="311">
        <f t="shared" si="193"/>
        <v>0.29600000000072557</v>
      </c>
      <c r="E427" s="311">
        <f t="shared" si="193"/>
        <v>7.0339999999593976</v>
      </c>
      <c r="F427" s="311"/>
      <c r="G427" s="311">
        <f t="shared" ref="G427:J427" si="194">SUM(G417:G425)</f>
        <v>13.67799999993191</v>
      </c>
      <c r="H427" s="311">
        <f t="shared" si="194"/>
        <v>1.6740000000228372</v>
      </c>
      <c r="I427" s="311">
        <f t="shared" si="194"/>
        <v>0</v>
      </c>
      <c r="J427" s="311">
        <f t="shared" si="194"/>
        <v>15.351999999954751</v>
      </c>
      <c r="K427" s="311"/>
      <c r="L427" s="311">
        <f t="shared" ref="L427:O427" si="195">SUM(L417:L425)</f>
        <v>12.50199999991252</v>
      </c>
      <c r="M427" s="311">
        <f t="shared" si="195"/>
        <v>1.5659999999851033</v>
      </c>
      <c r="N427" s="311">
        <f t="shared" si="195"/>
        <v>0</v>
      </c>
      <c r="O427" s="311">
        <f t="shared" si="195"/>
        <v>14.067999999897623</v>
      </c>
    </row>
    <row r="428" spans="1:15" s="236" customFormat="1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2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2">
      <c r="A431" s="241" t="str">
        <f>name!A28</f>
        <v>Water</v>
      </c>
      <c r="B431" s="374">
        <f>$B$6</f>
        <v>2015</v>
      </c>
      <c r="C431" s="374"/>
      <c r="D431" s="374"/>
      <c r="E431" s="374"/>
      <c r="F431" s="263"/>
      <c r="G431" s="374">
        <f>$G$6</f>
        <v>2020</v>
      </c>
      <c r="H431" s="374"/>
      <c r="I431" s="374"/>
      <c r="J431" s="374"/>
      <c r="K431" s="263"/>
      <c r="L431" s="374">
        <f>$L$6</f>
        <v>2035</v>
      </c>
      <c r="M431" s="374"/>
      <c r="N431" s="374"/>
      <c r="O431" s="374"/>
    </row>
    <row r="432" spans="1:15" s="236" customFormat="1" x14ac:dyDescent="0.2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2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2">
      <c r="A434" s="237" t="str">
        <f>name!E$4</f>
        <v>Managers, directors and senior officials</v>
      </c>
      <c r="B434" s="302">
        <v>0.31388320213959375</v>
      </c>
      <c r="C434" s="302">
        <v>1.4843050992726599E-2</v>
      </c>
      <c r="D434" s="302">
        <v>5.7790057452671122E-2</v>
      </c>
      <c r="E434" s="302">
        <f>SUM(B434:D434)</f>
        <v>0.38651631058499147</v>
      </c>
      <c r="F434" s="303"/>
      <c r="G434" s="302">
        <v>0.52855946706228996</v>
      </c>
      <c r="H434" s="302">
        <v>5.1586751394861227E-2</v>
      </c>
      <c r="I434" s="302">
        <v>4.1065617888046248E-3</v>
      </c>
      <c r="J434" s="302">
        <f>SUM(G434:I434)</f>
        <v>0.58425278024595584</v>
      </c>
      <c r="K434" s="303"/>
      <c r="L434" s="302">
        <v>0.57910971957029611</v>
      </c>
      <c r="M434" s="302">
        <v>5.9599957741492078E-2</v>
      </c>
      <c r="N434" s="302">
        <v>2.9084162093103859E-3</v>
      </c>
      <c r="O434" s="302">
        <f>SUM(L434:N434)</f>
        <v>0.64161809352109855</v>
      </c>
    </row>
    <row r="435" spans="1:15" s="236" customFormat="1" x14ac:dyDescent="0.2">
      <c r="A435" s="237" t="str">
        <f>name!E$5</f>
        <v>Professional occupations</v>
      </c>
      <c r="B435" s="302">
        <v>0.60444788543811945</v>
      </c>
      <c r="C435" s="302">
        <v>3.085360922500115E-2</v>
      </c>
      <c r="D435" s="302">
        <v>9.5331814300538664E-2</v>
      </c>
      <c r="E435" s="302">
        <f t="shared" ref="E435:E442" si="196">SUM(B435:D435)</f>
        <v>0.73063330896365919</v>
      </c>
      <c r="F435" s="303"/>
      <c r="G435" s="302">
        <v>1.1217429645095742</v>
      </c>
      <c r="H435" s="302">
        <v>0.10146871637501274</v>
      </c>
      <c r="I435" s="302">
        <v>3.9588105906310763E-3</v>
      </c>
      <c r="J435" s="302">
        <f t="shared" ref="J435:J437" si="197">SUM(G435:I435)</f>
        <v>1.227170491475218</v>
      </c>
      <c r="K435" s="303"/>
      <c r="L435" s="302">
        <v>1.4326943602515234</v>
      </c>
      <c r="M435" s="302">
        <v>0.13122835801971469</v>
      </c>
      <c r="N435" s="302">
        <v>2.2274171933199167E-3</v>
      </c>
      <c r="O435" s="302">
        <f t="shared" ref="O435:O442" si="198">SUM(L435:N435)</f>
        <v>1.5661501354645579</v>
      </c>
    </row>
    <row r="436" spans="1:15" s="236" customFormat="1" x14ac:dyDescent="0.2">
      <c r="A436" s="237" t="str">
        <f>name!E$6</f>
        <v>Associate professional occupations</v>
      </c>
      <c r="B436" s="302">
        <v>0.48737654184338636</v>
      </c>
      <c r="C436" s="302">
        <v>5.6018467665122029E-2</v>
      </c>
      <c r="D436" s="302">
        <v>5.1055274670858269E-2</v>
      </c>
      <c r="E436" s="302">
        <f t="shared" si="196"/>
        <v>0.59445028417936663</v>
      </c>
      <c r="F436" s="303"/>
      <c r="G436" s="302">
        <v>0.81553516612400945</v>
      </c>
      <c r="H436" s="302">
        <v>0.15532330678432049</v>
      </c>
      <c r="I436" s="302">
        <v>3.6547424551997701E-3</v>
      </c>
      <c r="J436" s="302">
        <f t="shared" si="197"/>
        <v>0.97451321536352975</v>
      </c>
      <c r="K436" s="303"/>
      <c r="L436" s="302">
        <v>0.86184907384438503</v>
      </c>
      <c r="M436" s="302">
        <v>0.17096390957210594</v>
      </c>
      <c r="N436" s="302">
        <v>2.494643081591804E-3</v>
      </c>
      <c r="O436" s="302">
        <f t="shared" si="198"/>
        <v>1.0353076264980827</v>
      </c>
    </row>
    <row r="437" spans="1:15" s="236" customFormat="1" x14ac:dyDescent="0.2">
      <c r="A437" s="237" t="str">
        <f>name!E$7</f>
        <v>Administrative and secretarial occupations</v>
      </c>
      <c r="B437" s="302">
        <v>0.44924998735948923</v>
      </c>
      <c r="C437" s="302">
        <v>9.7560592654764383E-2</v>
      </c>
      <c r="D437" s="302">
        <v>2.1272486119162173E-2</v>
      </c>
      <c r="E437" s="302">
        <f t="shared" si="196"/>
        <v>0.56808306613341586</v>
      </c>
      <c r="F437" s="303"/>
      <c r="G437" s="302">
        <v>0.59368317463414833</v>
      </c>
      <c r="H437" s="302">
        <v>0.20492409619803423</v>
      </c>
      <c r="I437" s="302">
        <v>1.451754047572326E-3</v>
      </c>
      <c r="J437" s="302">
        <f t="shared" si="197"/>
        <v>0.80005902487975489</v>
      </c>
      <c r="K437" s="303"/>
      <c r="L437" s="302">
        <v>0.67142499740517814</v>
      </c>
      <c r="M437" s="302">
        <v>0.19940901712867434</v>
      </c>
      <c r="N437" s="302">
        <v>5.1996182929028873E-3</v>
      </c>
      <c r="O437" s="302">
        <f t="shared" si="198"/>
        <v>0.87603363282675539</v>
      </c>
    </row>
    <row r="438" spans="1:15" s="236" customFormat="1" x14ac:dyDescent="0.2">
      <c r="A438" s="237" t="str">
        <f>name!E$8</f>
        <v>Skilled trades occupations</v>
      </c>
      <c r="B438" s="302">
        <v>0.51048375376633559</v>
      </c>
      <c r="C438" s="302">
        <v>1.5270611879763809E-2</v>
      </c>
      <c r="D438" s="302">
        <v>9.4461235601911997E-2</v>
      </c>
      <c r="E438" s="302">
        <f t="shared" si="196"/>
        <v>0.62021560124801145</v>
      </c>
      <c r="F438" s="303"/>
      <c r="G438" s="302">
        <v>0.64274081917384085</v>
      </c>
      <c r="H438" s="302">
        <v>2.5095170844579896E-2</v>
      </c>
      <c r="I438" s="302">
        <v>5.5141857223645566E-3</v>
      </c>
      <c r="J438" s="302">
        <f>SUM(G438:I438)</f>
        <v>0.67335017574078526</v>
      </c>
      <c r="K438" s="303"/>
      <c r="L438" s="302">
        <v>0.63420685013264355</v>
      </c>
      <c r="M438" s="302">
        <v>3.6058665058112678E-2</v>
      </c>
      <c r="N438" s="302">
        <v>8.0130059834946296E-3</v>
      </c>
      <c r="O438" s="302">
        <f t="shared" si="198"/>
        <v>0.67827852117425091</v>
      </c>
    </row>
    <row r="439" spans="1:15" s="236" customFormat="1" x14ac:dyDescent="0.2">
      <c r="A439" s="237" t="str">
        <f>name!E$9</f>
        <v>Caring, leisure and other service occupations</v>
      </c>
      <c r="B439" s="302">
        <v>1.5295837248685135E-2</v>
      </c>
      <c r="C439" s="302">
        <v>6.6985499409589399E-3</v>
      </c>
      <c r="D439" s="302">
        <v>3.3367264231255495E-2</v>
      </c>
      <c r="E439" s="302">
        <f t="shared" si="196"/>
        <v>5.536165142089957E-2</v>
      </c>
      <c r="F439" s="303"/>
      <c r="G439" s="302">
        <v>2.2536430386395658E-2</v>
      </c>
      <c r="H439" s="302">
        <v>1.2287853259343609E-2</v>
      </c>
      <c r="I439" s="302">
        <v>4.0989450146480559E-3</v>
      </c>
      <c r="J439" s="302">
        <f t="shared" ref="J439:J442" si="199">SUM(G439:I439)</f>
        <v>3.8923228660387318E-2</v>
      </c>
      <c r="K439" s="303"/>
      <c r="L439" s="302">
        <v>2.6306020599670927E-2</v>
      </c>
      <c r="M439" s="302">
        <v>1.3779422392891243E-2</v>
      </c>
      <c r="N439" s="302">
        <v>4.2271746611792504E-3</v>
      </c>
      <c r="O439" s="302">
        <f t="shared" si="198"/>
        <v>4.4312617653741421E-2</v>
      </c>
    </row>
    <row r="440" spans="1:15" s="236" customFormat="1" x14ac:dyDescent="0.2">
      <c r="A440" s="237" t="str">
        <f>name!E$10</f>
        <v>Sales and customer service occupations</v>
      </c>
      <c r="B440" s="302">
        <v>0.26192953723351087</v>
      </c>
      <c r="C440" s="302">
        <v>9.6550520655435762E-2</v>
      </c>
      <c r="D440" s="302">
        <v>2.3950664055436832E-2</v>
      </c>
      <c r="E440" s="302">
        <f t="shared" si="196"/>
        <v>0.38243072194438349</v>
      </c>
      <c r="F440" s="303"/>
      <c r="G440" s="302">
        <v>0.38875019834364388</v>
      </c>
      <c r="H440" s="302">
        <v>0.22556022195412989</v>
      </c>
      <c r="I440" s="302">
        <v>1.0342017738634408E-3</v>
      </c>
      <c r="J440" s="302">
        <f t="shared" si="199"/>
        <v>0.61534462207163731</v>
      </c>
      <c r="K440" s="303"/>
      <c r="L440" s="302">
        <v>0.53407712273498065</v>
      </c>
      <c r="M440" s="302">
        <v>0.30839573664502801</v>
      </c>
      <c r="N440" s="302">
        <v>5.5999547648389074E-4</v>
      </c>
      <c r="O440" s="302">
        <f t="shared" si="198"/>
        <v>0.84303285485649249</v>
      </c>
    </row>
    <row r="441" spans="1:15" s="236" customFormat="1" x14ac:dyDescent="0.2">
      <c r="A441" s="237" t="str">
        <f>name!E$11</f>
        <v>Process, plant and machine operatives</v>
      </c>
      <c r="B441" s="302">
        <v>0.73343909186395573</v>
      </c>
      <c r="C441" s="302">
        <v>3.4078923515434276E-2</v>
      </c>
      <c r="D441" s="302">
        <v>4.7903966072981544E-2</v>
      </c>
      <c r="E441" s="302">
        <f t="shared" si="196"/>
        <v>0.81542198145237155</v>
      </c>
      <c r="F441" s="303"/>
      <c r="G441" s="302">
        <v>0.91530787554578863</v>
      </c>
      <c r="H441" s="302">
        <v>8.0392013407326282E-2</v>
      </c>
      <c r="I441" s="302">
        <v>6.1722182259921806E-4</v>
      </c>
      <c r="J441" s="302">
        <f t="shared" si="199"/>
        <v>0.99631711077571417</v>
      </c>
      <c r="K441" s="303"/>
      <c r="L441" s="302">
        <v>1.090621987406583</v>
      </c>
      <c r="M441" s="302">
        <v>0.10198218357484867</v>
      </c>
      <c r="N441" s="302">
        <v>8.7590093737284166E-4</v>
      </c>
      <c r="O441" s="302">
        <f t="shared" si="198"/>
        <v>1.1934800719188046</v>
      </c>
    </row>
    <row r="442" spans="1:15" s="236" customFormat="1" x14ac:dyDescent="0.2">
      <c r="A442" s="237" t="str">
        <f>name!E$12</f>
        <v>Elementary occupations</v>
      </c>
      <c r="B442" s="302">
        <v>0.13589416308989252</v>
      </c>
      <c r="C442" s="302">
        <v>2.4125673470009566E-2</v>
      </c>
      <c r="D442" s="302">
        <v>6.886723749789965E-2</v>
      </c>
      <c r="E442" s="302">
        <f t="shared" si="196"/>
        <v>0.22888707405780173</v>
      </c>
      <c r="F442" s="303"/>
      <c r="G442" s="302">
        <v>0.17514390420279694</v>
      </c>
      <c r="H442" s="302">
        <v>4.4361869793467318E-2</v>
      </c>
      <c r="I442" s="302">
        <v>2.563576784023159E-3</v>
      </c>
      <c r="J442" s="302">
        <f t="shared" si="199"/>
        <v>0.22206935078028742</v>
      </c>
      <c r="K442" s="303"/>
      <c r="L442" s="302">
        <v>0.15570986805513912</v>
      </c>
      <c r="M442" s="302">
        <v>3.9582749859605179E-2</v>
      </c>
      <c r="N442" s="302">
        <v>3.4938281650849909E-3</v>
      </c>
      <c r="O442" s="302">
        <f t="shared" si="198"/>
        <v>0.19878644607982926</v>
      </c>
    </row>
    <row r="443" spans="1:15" s="236" customFormat="1" x14ac:dyDescent="0.2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2">
      <c r="A444" s="244" t="s">
        <v>32</v>
      </c>
      <c r="B444" s="311">
        <f>SUM(B434:B442)</f>
        <v>3.5119999999829687</v>
      </c>
      <c r="C444" s="311">
        <f t="shared" ref="C444:E444" si="200">SUM(C434:C442)</f>
        <v>0.37599999999921652</v>
      </c>
      <c r="D444" s="311">
        <f t="shared" si="200"/>
        <v>0.49400000000271571</v>
      </c>
      <c r="E444" s="311">
        <f t="shared" si="200"/>
        <v>4.3819999999849006</v>
      </c>
      <c r="F444" s="311"/>
      <c r="G444" s="311">
        <f t="shared" ref="G444:J444" si="201">SUM(G434:G442)</f>
        <v>5.2039999999824884</v>
      </c>
      <c r="H444" s="311">
        <f t="shared" si="201"/>
        <v>0.90100000001107572</v>
      </c>
      <c r="I444" s="311">
        <f t="shared" si="201"/>
        <v>2.6999999999706231E-2</v>
      </c>
      <c r="J444" s="311">
        <f t="shared" si="201"/>
        <v>6.1319999999932699</v>
      </c>
      <c r="K444" s="311"/>
      <c r="L444" s="311">
        <f t="shared" ref="L444:O444" si="202">SUM(L434:L442)</f>
        <v>5.9860000000003994</v>
      </c>
      <c r="M444" s="311">
        <f t="shared" si="202"/>
        <v>1.0609999999924726</v>
      </c>
      <c r="N444" s="311">
        <f t="shared" si="202"/>
        <v>3.0000000000740597E-2</v>
      </c>
      <c r="O444" s="311">
        <f t="shared" si="202"/>
        <v>7.0769999999936122</v>
      </c>
    </row>
    <row r="445" spans="1:15" s="236" customFormat="1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2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2">
      <c r="A448" s="241" t="str">
        <f>name!A29</f>
        <v>Sewerage</v>
      </c>
      <c r="B448" s="374">
        <f>$B$6</f>
        <v>2015</v>
      </c>
      <c r="C448" s="374"/>
      <c r="D448" s="374"/>
      <c r="E448" s="374"/>
      <c r="F448" s="263"/>
      <c r="G448" s="374">
        <f>$G$6</f>
        <v>2020</v>
      </c>
      <c r="H448" s="374"/>
      <c r="I448" s="374"/>
      <c r="J448" s="374"/>
      <c r="K448" s="263"/>
      <c r="L448" s="374">
        <f>$L$6</f>
        <v>2035</v>
      </c>
      <c r="M448" s="374"/>
      <c r="N448" s="374"/>
      <c r="O448" s="374"/>
    </row>
    <row r="449" spans="1:15" s="236" customFormat="1" x14ac:dyDescent="0.2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2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2">
      <c r="A451" s="237" t="str">
        <f>name!E$4</f>
        <v>Managers, directors and senior officials</v>
      </c>
      <c r="B451" s="302">
        <v>0.13805340986939965</v>
      </c>
      <c r="C451" s="302">
        <v>6.5533156218994491E-3</v>
      </c>
      <c r="D451" s="302">
        <v>8.2059251144058043E-2</v>
      </c>
      <c r="E451" s="302">
        <f>SUM(B451:D451)</f>
        <v>0.22666597663535715</v>
      </c>
      <c r="F451" s="303"/>
      <c r="G451" s="302">
        <v>0.23487509925509825</v>
      </c>
      <c r="H451" s="302">
        <v>8.3802955779116034E-3</v>
      </c>
      <c r="I451" s="302">
        <v>2.4460984377636802E-3</v>
      </c>
      <c r="J451" s="302">
        <f>SUM(G451:I451)</f>
        <v>0.24570149327077351</v>
      </c>
      <c r="K451" s="303"/>
      <c r="L451" s="302">
        <v>0.25526317444917956</v>
      </c>
      <c r="M451" s="302">
        <v>9.9010710732760857E-3</v>
      </c>
      <c r="N451" s="302">
        <v>2.8048108154749155E-3</v>
      </c>
      <c r="O451" s="302">
        <f>SUM(L451:N451)</f>
        <v>0.26796905633793056</v>
      </c>
    </row>
    <row r="452" spans="1:15" s="236" customFormat="1" x14ac:dyDescent="0.2">
      <c r="A452" s="237" t="str">
        <f>name!E$5</f>
        <v>Professional occupations</v>
      </c>
      <c r="B452" s="302">
        <v>9.963161786783728E-2</v>
      </c>
      <c r="C452" s="302">
        <v>1.6534177587557836E-2</v>
      </c>
      <c r="D452" s="302">
        <v>9.0270100640475401E-2</v>
      </c>
      <c r="E452" s="302">
        <f t="shared" ref="E452:E459" si="203">SUM(B452:D452)</f>
        <v>0.20643589609587051</v>
      </c>
      <c r="F452" s="303"/>
      <c r="G452" s="302">
        <v>0.18993741434050865</v>
      </c>
      <c r="H452" s="302">
        <v>2.1720122271872002E-2</v>
      </c>
      <c r="I452" s="302">
        <v>2.3464919050617946E-3</v>
      </c>
      <c r="J452" s="302">
        <f t="shared" ref="J452:J454" si="204">SUM(G452:I452)</f>
        <v>0.21400402851744244</v>
      </c>
      <c r="K452" s="303"/>
      <c r="L452" s="302">
        <v>0.22152078020689545</v>
      </c>
      <c r="M452" s="302">
        <v>2.8245392434145276E-2</v>
      </c>
      <c r="N452" s="302">
        <v>1.7382367217802441E-3</v>
      </c>
      <c r="O452" s="302">
        <f t="shared" ref="O452:O459" si="205">SUM(L452:N452)</f>
        <v>0.25150440936282098</v>
      </c>
    </row>
    <row r="453" spans="1:15" s="236" customFormat="1" x14ac:dyDescent="0.2">
      <c r="A453" s="237" t="str">
        <f>name!E$6</f>
        <v>Associate professional occupations</v>
      </c>
      <c r="B453" s="302">
        <v>0.10834149280718175</v>
      </c>
      <c r="C453" s="302">
        <v>4.6306977845333108E-2</v>
      </c>
      <c r="D453" s="302">
        <v>6.5692153071214218E-2</v>
      </c>
      <c r="E453" s="302">
        <f t="shared" si="203"/>
        <v>0.22034062372372909</v>
      </c>
      <c r="F453" s="303"/>
      <c r="G453" s="302">
        <v>0.18740316144092453</v>
      </c>
      <c r="H453" s="302">
        <v>4.7268106298745005E-2</v>
      </c>
      <c r="I453" s="302">
        <v>2.1592485317767848E-3</v>
      </c>
      <c r="J453" s="302">
        <f t="shared" si="204"/>
        <v>0.23683051627144633</v>
      </c>
      <c r="K453" s="303"/>
      <c r="L453" s="302">
        <v>0.19807411383910919</v>
      </c>
      <c r="M453" s="302">
        <v>6.5455985843251824E-2</v>
      </c>
      <c r="N453" s="302">
        <v>1.7559136416097621E-3</v>
      </c>
      <c r="O453" s="302">
        <f t="shared" si="205"/>
        <v>0.26528601332397078</v>
      </c>
    </row>
    <row r="454" spans="1:15" s="236" customFormat="1" x14ac:dyDescent="0.2">
      <c r="A454" s="237" t="str">
        <f>name!E$7</f>
        <v>Administrative and secretarial occupations</v>
      </c>
      <c r="B454" s="302">
        <v>2.4726510112355576E-2</v>
      </c>
      <c r="C454" s="302">
        <v>8.8726645038086208E-2</v>
      </c>
      <c r="D454" s="302">
        <v>1.4251830890165048E-2</v>
      </c>
      <c r="E454" s="302">
        <f t="shared" si="203"/>
        <v>0.12770498604060684</v>
      </c>
      <c r="F454" s="303"/>
      <c r="G454" s="302">
        <v>3.9945186492057867E-2</v>
      </c>
      <c r="H454" s="302">
        <v>7.5354010645117667E-2</v>
      </c>
      <c r="I454" s="302">
        <v>8.2362528446104904E-4</v>
      </c>
      <c r="J454" s="302">
        <f t="shared" si="204"/>
        <v>0.11612282242163659</v>
      </c>
      <c r="K454" s="303"/>
      <c r="L454" s="302">
        <v>2.9841887542601614E-2</v>
      </c>
      <c r="M454" s="302">
        <v>8.9804112188796456E-2</v>
      </c>
      <c r="N454" s="302">
        <v>7.2939181098069365E-4</v>
      </c>
      <c r="O454" s="302">
        <f t="shared" si="205"/>
        <v>0.12037539154237877</v>
      </c>
    </row>
    <row r="455" spans="1:15" s="236" customFormat="1" x14ac:dyDescent="0.2">
      <c r="A455" s="237" t="str">
        <f>name!E$8</f>
        <v>Skilled trades occupations</v>
      </c>
      <c r="B455" s="302">
        <v>8.0532857338245487E-2</v>
      </c>
      <c r="C455" s="302">
        <v>6.3559293041383106E-3</v>
      </c>
      <c r="D455" s="302">
        <v>0.24787908277212894</v>
      </c>
      <c r="E455" s="302">
        <f t="shared" si="203"/>
        <v>0.33476786941451275</v>
      </c>
      <c r="F455" s="303"/>
      <c r="G455" s="302">
        <v>9.9873809855135068E-2</v>
      </c>
      <c r="H455" s="302">
        <v>5.0003897441955247E-3</v>
      </c>
      <c r="I455" s="302">
        <v>3.2927773096561013E-3</v>
      </c>
      <c r="J455" s="302">
        <f>SUM(G455:I455)</f>
        <v>0.10816697690898669</v>
      </c>
      <c r="K455" s="303"/>
      <c r="L455" s="302">
        <v>8.9216598094852995E-2</v>
      </c>
      <c r="M455" s="302">
        <v>7.6365175861375116E-3</v>
      </c>
      <c r="N455" s="302">
        <v>4.8468096988575149E-3</v>
      </c>
      <c r="O455" s="302">
        <f t="shared" si="205"/>
        <v>0.10169992537984802</v>
      </c>
    </row>
    <row r="456" spans="1:15" s="236" customFormat="1" x14ac:dyDescent="0.2">
      <c r="A456" s="237" t="str">
        <f>name!E$9</f>
        <v>Caring, leisure and other service occupations</v>
      </c>
      <c r="B456" s="302">
        <v>2.7892989129468186E-2</v>
      </c>
      <c r="C456" s="302">
        <v>1.3425896868069848E-2</v>
      </c>
      <c r="D456" s="302">
        <v>2.7809807398631814E-2</v>
      </c>
      <c r="E456" s="302">
        <f t="shared" si="203"/>
        <v>6.9128693396169852E-2</v>
      </c>
      <c r="F456" s="303"/>
      <c r="G456" s="302">
        <v>4.8845318523270662E-2</v>
      </c>
      <c r="H456" s="302">
        <v>1.3897207400938829E-2</v>
      </c>
      <c r="I456" s="302">
        <v>2.4402364851796622E-3</v>
      </c>
      <c r="J456" s="302">
        <f t="shared" ref="J456:J459" si="206">SUM(G456:I456)</f>
        <v>6.5182762409389153E-2</v>
      </c>
      <c r="K456" s="303"/>
      <c r="L456" s="302">
        <v>6.247456524839104E-2</v>
      </c>
      <c r="M456" s="302">
        <v>1.6136071697095029E-2</v>
      </c>
      <c r="N456" s="302">
        <v>2.9117893936468696E-3</v>
      </c>
      <c r="O456" s="302">
        <f t="shared" si="205"/>
        <v>8.1522426339132925E-2</v>
      </c>
    </row>
    <row r="457" spans="1:15" s="236" customFormat="1" x14ac:dyDescent="0.2">
      <c r="A457" s="237" t="str">
        <f>name!E$10</f>
        <v>Sales and customer service occupations</v>
      </c>
      <c r="B457" s="302">
        <v>1.8608612420531617E-2</v>
      </c>
      <c r="C457" s="302">
        <v>2.0951766513957686E-2</v>
      </c>
      <c r="D457" s="302">
        <v>2.7132951147908133E-2</v>
      </c>
      <c r="E457" s="302">
        <f t="shared" si="203"/>
        <v>6.6693330082397431E-2</v>
      </c>
      <c r="F457" s="303"/>
      <c r="G457" s="302">
        <v>2.9403373576490765E-2</v>
      </c>
      <c r="H457" s="302">
        <v>2.0979842885163875E-2</v>
      </c>
      <c r="I457" s="302">
        <v>6.1249260255994927E-4</v>
      </c>
      <c r="J457" s="302">
        <f t="shared" si="206"/>
        <v>5.0995709064214592E-2</v>
      </c>
      <c r="K457" s="303"/>
      <c r="L457" s="302">
        <v>3.5939644400219344E-2</v>
      </c>
      <c r="M457" s="302">
        <v>2.2680533539413416E-2</v>
      </c>
      <c r="N457" s="302">
        <v>4.5858287854374976E-4</v>
      </c>
      <c r="O457" s="302">
        <f t="shared" si="205"/>
        <v>5.9078760818176507E-2</v>
      </c>
    </row>
    <row r="458" spans="1:15" s="236" customFormat="1" x14ac:dyDescent="0.2">
      <c r="A458" s="237" t="str">
        <f>name!E$11</f>
        <v>Process, plant and machine operatives</v>
      </c>
      <c r="B458" s="302">
        <v>0.48700524283933233</v>
      </c>
      <c r="C458" s="302">
        <v>5.789333267049392E-3</v>
      </c>
      <c r="D458" s="302">
        <v>3.8925287672438344E-2</v>
      </c>
      <c r="E458" s="302">
        <f t="shared" si="203"/>
        <v>0.53171986377882008</v>
      </c>
      <c r="F458" s="303"/>
      <c r="G458" s="302">
        <v>0.65823976796041805</v>
      </c>
      <c r="H458" s="302">
        <v>5.6417828547143199E-3</v>
      </c>
      <c r="I458" s="302">
        <v>3.6424670562040817E-4</v>
      </c>
      <c r="J458" s="302">
        <f t="shared" si="206"/>
        <v>0.66424579752075275</v>
      </c>
      <c r="K458" s="303"/>
      <c r="L458" s="302">
        <v>0.82000568272047492</v>
      </c>
      <c r="M458" s="302">
        <v>7.0320266814436899E-3</v>
      </c>
      <c r="N458" s="302">
        <v>5.2980180736976739E-4</v>
      </c>
      <c r="O458" s="302">
        <f t="shared" si="205"/>
        <v>0.82756751120928829</v>
      </c>
    </row>
    <row r="459" spans="1:15" s="236" customFormat="1" x14ac:dyDescent="0.2">
      <c r="A459" s="237" t="str">
        <f>name!E$12</f>
        <v>Elementary occupations</v>
      </c>
      <c r="B459" s="302">
        <v>0.43520726761967432</v>
      </c>
      <c r="C459" s="302">
        <v>7.3355957954717013E-2</v>
      </c>
      <c r="D459" s="302">
        <v>4.497953526349778E-2</v>
      </c>
      <c r="E459" s="302">
        <f t="shared" si="203"/>
        <v>0.55354276083788911</v>
      </c>
      <c r="F459" s="303"/>
      <c r="G459" s="302">
        <v>0.63647686857857277</v>
      </c>
      <c r="H459" s="302">
        <v>5.9758242323655786E-2</v>
      </c>
      <c r="I459" s="302">
        <v>1.5147827377173181E-3</v>
      </c>
      <c r="J459" s="302">
        <f t="shared" si="206"/>
        <v>0.69774989363994588</v>
      </c>
      <c r="K459" s="303"/>
      <c r="L459" s="302">
        <v>0.69166355354271314</v>
      </c>
      <c r="M459" s="302">
        <v>5.8108288957402554E-2</v>
      </c>
      <c r="N459" s="302">
        <v>2.2246632316864413E-3</v>
      </c>
      <c r="O459" s="302">
        <f t="shared" si="205"/>
        <v>0.7519965057318021</v>
      </c>
    </row>
    <row r="460" spans="1:15" s="236" customFormat="1" x14ac:dyDescent="0.2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2">
      <c r="A461" s="244" t="s">
        <v>32</v>
      </c>
      <c r="B461" s="311">
        <f>SUM(B451:B459)</f>
        <v>1.4200000000040263</v>
      </c>
      <c r="C461" s="311">
        <f t="shared" ref="C461:E461" si="207">SUM(C451:C459)</f>
        <v>0.27800000000080888</v>
      </c>
      <c r="D461" s="311">
        <f t="shared" si="207"/>
        <v>0.63900000000051771</v>
      </c>
      <c r="E461" s="311">
        <f t="shared" si="207"/>
        <v>2.3370000000053528</v>
      </c>
      <c r="F461" s="311"/>
      <c r="G461" s="311">
        <f t="shared" ref="G461:J461" si="208">SUM(G451:G459)</f>
        <v>2.1250000000224767</v>
      </c>
      <c r="H461" s="311">
        <f t="shared" si="208"/>
        <v>0.2580000000023146</v>
      </c>
      <c r="I461" s="311">
        <f t="shared" si="208"/>
        <v>1.5999999999796746E-2</v>
      </c>
      <c r="J461" s="311">
        <f t="shared" si="208"/>
        <v>2.3990000000245879</v>
      </c>
      <c r="K461" s="311"/>
      <c r="L461" s="311">
        <f t="shared" ref="L461:O461" si="209">SUM(L451:L459)</f>
        <v>2.4040000000444373</v>
      </c>
      <c r="M461" s="311">
        <f t="shared" si="209"/>
        <v>0.30500000000096184</v>
      </c>
      <c r="N461" s="311">
        <f t="shared" si="209"/>
        <v>1.7999999999949959E-2</v>
      </c>
      <c r="O461" s="311">
        <f t="shared" si="209"/>
        <v>2.7270000000453489</v>
      </c>
    </row>
    <row r="462" spans="1:15" s="236" customFormat="1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2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2">
      <c r="A465" s="241" t="str">
        <f>name!A30</f>
        <v>Waste management</v>
      </c>
      <c r="B465" s="374">
        <f>$B$6</f>
        <v>2015</v>
      </c>
      <c r="C465" s="374"/>
      <c r="D465" s="374"/>
      <c r="E465" s="374"/>
      <c r="F465" s="263"/>
      <c r="G465" s="374">
        <f>$G$6</f>
        <v>2020</v>
      </c>
      <c r="H465" s="374"/>
      <c r="I465" s="374"/>
      <c r="J465" s="374"/>
      <c r="K465" s="263"/>
      <c r="L465" s="374">
        <f>$L$6</f>
        <v>2035</v>
      </c>
      <c r="M465" s="374"/>
      <c r="N465" s="374"/>
      <c r="O465" s="374"/>
    </row>
    <row r="466" spans="1:15" s="236" customFormat="1" x14ac:dyDescent="0.2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2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2">
      <c r="A468" s="237" t="str">
        <f>name!E$4</f>
        <v>Managers, directors and senior officials</v>
      </c>
      <c r="B468" s="302">
        <v>1.1233106701128122</v>
      </c>
      <c r="C468" s="302">
        <v>9.359336412410045E-2</v>
      </c>
      <c r="D468" s="302">
        <v>0.55458291660991221</v>
      </c>
      <c r="E468" s="302">
        <f>SUM(B468:D468)</f>
        <v>1.7714869508468247</v>
      </c>
      <c r="F468" s="303"/>
      <c r="G468" s="302">
        <v>1.6051564588431027</v>
      </c>
      <c r="H468" s="302">
        <v>0.10509831680103436</v>
      </c>
      <c r="I468" s="302">
        <v>2.4984794296650072E-3</v>
      </c>
      <c r="J468" s="302">
        <f>SUM(G468:I468)</f>
        <v>1.7127532550738021</v>
      </c>
      <c r="K468" s="303"/>
      <c r="L468" s="302">
        <v>1.943987989329949</v>
      </c>
      <c r="M468" s="302">
        <v>0.15368721277485425</v>
      </c>
      <c r="N468" s="302">
        <v>2.8062831641409891E-3</v>
      </c>
      <c r="O468" s="302">
        <f>SUM(L468:N468)</f>
        <v>2.1004814852689444</v>
      </c>
    </row>
    <row r="469" spans="1:15" s="236" customFormat="1" x14ac:dyDescent="0.2">
      <c r="A469" s="237" t="str">
        <f>name!E$5</f>
        <v>Professional occupations</v>
      </c>
      <c r="B469" s="302">
        <v>0.76267611894412013</v>
      </c>
      <c r="C469" s="302">
        <v>0.16088374079924164</v>
      </c>
      <c r="D469" s="302">
        <v>0.14444285290934386</v>
      </c>
      <c r="E469" s="302">
        <f t="shared" ref="E469:E476" si="210">SUM(B469:D469)</f>
        <v>1.0680027126527056</v>
      </c>
      <c r="F469" s="303"/>
      <c r="G469" s="302">
        <v>1.1974585606873505</v>
      </c>
      <c r="H469" s="302">
        <v>0.13414082550953316</v>
      </c>
      <c r="I469" s="302">
        <v>5.8245895884889414E-3</v>
      </c>
      <c r="J469" s="302">
        <f t="shared" ref="J469:J471" si="211">SUM(G469:I469)</f>
        <v>1.3374239757853725</v>
      </c>
      <c r="K469" s="303"/>
      <c r="L469" s="302">
        <v>1.5778129791932725</v>
      </c>
      <c r="M469" s="302">
        <v>0.17946979849528236</v>
      </c>
      <c r="N469" s="302">
        <v>6.3865931114296202E-3</v>
      </c>
      <c r="O469" s="302">
        <f t="shared" ref="O469:O476" si="212">SUM(L469:N469)</f>
        <v>1.7636693707999844</v>
      </c>
    </row>
    <row r="470" spans="1:15" s="236" customFormat="1" x14ac:dyDescent="0.2">
      <c r="A470" s="237" t="str">
        <f>name!E$6</f>
        <v>Associate professional occupations</v>
      </c>
      <c r="B470" s="302">
        <v>0.85041166162057069</v>
      </c>
      <c r="C470" s="302">
        <v>0.11712523236924716</v>
      </c>
      <c r="D470" s="302">
        <v>0.13555812403434941</v>
      </c>
      <c r="E470" s="302">
        <f t="shared" si="210"/>
        <v>1.1030950180241672</v>
      </c>
      <c r="F470" s="303"/>
      <c r="G470" s="302">
        <v>1.1409676824618564</v>
      </c>
      <c r="H470" s="302">
        <v>8.0749507467406556E-2</v>
      </c>
      <c r="I470" s="302">
        <v>7.3515661010793657E-3</v>
      </c>
      <c r="J470" s="302">
        <f t="shared" si="211"/>
        <v>1.2290687560303424</v>
      </c>
      <c r="K470" s="303"/>
      <c r="L470" s="302">
        <v>1.1419057137357485</v>
      </c>
      <c r="M470" s="302">
        <v>9.125870168373186E-2</v>
      </c>
      <c r="N470" s="302">
        <v>1.1728334154586567E-2</v>
      </c>
      <c r="O470" s="302">
        <f t="shared" si="212"/>
        <v>1.2448927495740669</v>
      </c>
    </row>
    <row r="471" spans="1:15" s="236" customFormat="1" x14ac:dyDescent="0.2">
      <c r="A471" s="237" t="str">
        <f>name!E$7</f>
        <v>Administrative and secretarial occupations</v>
      </c>
      <c r="B471" s="302">
        <v>0.53896767185478867</v>
      </c>
      <c r="C471" s="302">
        <v>0.39033545549237625</v>
      </c>
      <c r="D471" s="302">
        <v>3.0545422871288721E-2</v>
      </c>
      <c r="E471" s="302">
        <f t="shared" si="210"/>
        <v>0.95984855021845361</v>
      </c>
      <c r="F471" s="303"/>
      <c r="G471" s="302">
        <v>0.58759218195732288</v>
      </c>
      <c r="H471" s="302">
        <v>0.25884420736440084</v>
      </c>
      <c r="I471" s="302">
        <v>1.8128689600689419E-3</v>
      </c>
      <c r="J471" s="302">
        <f t="shared" si="211"/>
        <v>0.84824925828179265</v>
      </c>
      <c r="K471" s="303"/>
      <c r="L471" s="302">
        <v>0.50033654415064621</v>
      </c>
      <c r="M471" s="302">
        <v>0.24640983915407966</v>
      </c>
      <c r="N471" s="302">
        <v>1.6415462680777471E-3</v>
      </c>
      <c r="O471" s="302">
        <f t="shared" si="212"/>
        <v>0.74838792957280365</v>
      </c>
    </row>
    <row r="472" spans="1:15" s="236" customFormat="1" x14ac:dyDescent="0.2">
      <c r="A472" s="237" t="str">
        <f>name!E$8</f>
        <v>Skilled trades occupations</v>
      </c>
      <c r="B472" s="302">
        <v>0.99371500363064658</v>
      </c>
      <c r="C472" s="302">
        <v>0.14798163824469929</v>
      </c>
      <c r="D472" s="302">
        <v>1.015721398758481</v>
      </c>
      <c r="E472" s="302">
        <f t="shared" si="210"/>
        <v>2.1574180406338268</v>
      </c>
      <c r="F472" s="303"/>
      <c r="G472" s="302">
        <v>1.1239304343825907</v>
      </c>
      <c r="H472" s="302">
        <v>0.10108508433384236</v>
      </c>
      <c r="I472" s="302">
        <v>1.1323136617330759E-2</v>
      </c>
      <c r="J472" s="302">
        <f>SUM(G472:I472)</f>
        <v>1.2363386553337639</v>
      </c>
      <c r="K472" s="303"/>
      <c r="L472" s="302">
        <v>1.4892499655021088</v>
      </c>
      <c r="M472" s="302">
        <v>0.18419225068871339</v>
      </c>
      <c r="N472" s="302">
        <v>1.0828597186678196E-2</v>
      </c>
      <c r="O472" s="302">
        <f t="shared" si="212"/>
        <v>1.6842708133775004</v>
      </c>
    </row>
    <row r="473" spans="1:15" s="236" customFormat="1" x14ac:dyDescent="0.2">
      <c r="A473" s="237" t="str">
        <f>name!E$9</f>
        <v>Caring, leisure and other service occupations</v>
      </c>
      <c r="B473" s="302">
        <v>0.2231290523649771</v>
      </c>
      <c r="C473" s="302">
        <v>6.4317643420109871E-2</v>
      </c>
      <c r="D473" s="302">
        <v>1.8250892582925688E-2</v>
      </c>
      <c r="E473" s="302">
        <f t="shared" si="210"/>
        <v>0.30569758836801264</v>
      </c>
      <c r="F473" s="303"/>
      <c r="G473" s="302">
        <v>0.24318172757962409</v>
      </c>
      <c r="H473" s="302">
        <v>3.4575212986085666E-2</v>
      </c>
      <c r="I473" s="302">
        <v>9.5974594385676599E-4</v>
      </c>
      <c r="J473" s="302">
        <f t="shared" ref="J473:J476" si="213">SUM(G473:I473)</f>
        <v>0.27871668650956655</v>
      </c>
      <c r="K473" s="303"/>
      <c r="L473" s="302">
        <v>0.25592160648003592</v>
      </c>
      <c r="M473" s="302">
        <v>2.9794420636811033E-2</v>
      </c>
      <c r="N473" s="302">
        <v>1.2172105111128853E-3</v>
      </c>
      <c r="O473" s="302">
        <f t="shared" si="212"/>
        <v>0.28693323762795986</v>
      </c>
    </row>
    <row r="474" spans="1:15" s="236" customFormat="1" x14ac:dyDescent="0.2">
      <c r="A474" s="237" t="str">
        <f>name!E$10</f>
        <v>Sales and customer service occupations</v>
      </c>
      <c r="B474" s="302">
        <v>0.25468749445256111</v>
      </c>
      <c r="C474" s="302">
        <v>0.13557121304817299</v>
      </c>
      <c r="D474" s="302">
        <v>0.10943085053938453</v>
      </c>
      <c r="E474" s="302">
        <f t="shared" si="210"/>
        <v>0.49968955804011861</v>
      </c>
      <c r="F474" s="303"/>
      <c r="G474" s="302">
        <v>0.3090941066673441</v>
      </c>
      <c r="H474" s="302">
        <v>8.3865713450772775E-2</v>
      </c>
      <c r="I474" s="302">
        <v>4.7561899485438954E-4</v>
      </c>
      <c r="J474" s="302">
        <f t="shared" si="213"/>
        <v>0.39343543911297124</v>
      </c>
      <c r="K474" s="303"/>
      <c r="L474" s="302">
        <v>0.39860357003382385</v>
      </c>
      <c r="M474" s="302">
        <v>7.8513016357389095E-2</v>
      </c>
      <c r="N474" s="302">
        <v>6.9053407974784388E-4</v>
      </c>
      <c r="O474" s="302">
        <f t="shared" si="212"/>
        <v>0.4778071204709608</v>
      </c>
    </row>
    <row r="475" spans="1:15" s="236" customFormat="1" x14ac:dyDescent="0.2">
      <c r="A475" s="237" t="str">
        <f>name!E$11</f>
        <v>Process, plant and machine operatives</v>
      </c>
      <c r="B475" s="302">
        <v>3.0323982167227688</v>
      </c>
      <c r="C475" s="302">
        <v>0.11162258094361428</v>
      </c>
      <c r="D475" s="302">
        <v>0.14293753015310817</v>
      </c>
      <c r="E475" s="302">
        <f t="shared" si="210"/>
        <v>3.2869583278194909</v>
      </c>
      <c r="F475" s="303"/>
      <c r="G475" s="302">
        <v>3.397447760349166</v>
      </c>
      <c r="H475" s="302">
        <v>0.11299013759882681</v>
      </c>
      <c r="I475" s="302">
        <v>2.8591864717558285E-3</v>
      </c>
      <c r="J475" s="302">
        <f t="shared" si="213"/>
        <v>3.5132970844197486</v>
      </c>
      <c r="K475" s="303"/>
      <c r="L475" s="302">
        <v>4.2141425583039549</v>
      </c>
      <c r="M475" s="302">
        <v>0.14129799370084109</v>
      </c>
      <c r="N475" s="302">
        <v>4.6562358112176472E-4</v>
      </c>
      <c r="O475" s="302">
        <f t="shared" si="212"/>
        <v>4.3559061755859183</v>
      </c>
    </row>
    <row r="476" spans="1:15" s="236" customFormat="1" x14ac:dyDescent="0.2">
      <c r="A476" s="237" t="str">
        <f>name!E$12</f>
        <v>Elementary occupations</v>
      </c>
      <c r="B476" s="302">
        <v>1.9577041102999759</v>
      </c>
      <c r="C476" s="302">
        <v>0.13556913156422445</v>
      </c>
      <c r="D476" s="302">
        <v>0.13953001151509578</v>
      </c>
      <c r="E476" s="302">
        <f t="shared" si="210"/>
        <v>2.2328032533792963</v>
      </c>
      <c r="F476" s="303"/>
      <c r="G476" s="302">
        <v>2.2711710871337059</v>
      </c>
      <c r="H476" s="302">
        <v>5.8650994491109401E-2</v>
      </c>
      <c r="I476" s="302">
        <v>3.8948078925212133E-3</v>
      </c>
      <c r="J476" s="302">
        <f t="shared" si="213"/>
        <v>2.3337168895173366</v>
      </c>
      <c r="K476" s="303"/>
      <c r="L476" s="302">
        <v>2.2080390734376363</v>
      </c>
      <c r="M476" s="302">
        <v>3.8376766513305918E-2</v>
      </c>
      <c r="N476" s="302">
        <v>5.2352779428641912E-3</v>
      </c>
      <c r="O476" s="302">
        <f t="shared" si="212"/>
        <v>2.2516511178938066</v>
      </c>
    </row>
    <row r="477" spans="1:15" s="236" customFormat="1" x14ac:dyDescent="0.2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2">
      <c r="A478" s="244" t="s">
        <v>32</v>
      </c>
      <c r="B478" s="311">
        <f>SUM(B468:B476)</f>
        <v>9.7370000000032206</v>
      </c>
      <c r="C478" s="311">
        <f t="shared" ref="C478:E478" si="214">SUM(C468:C476)</f>
        <v>1.3570000000057862</v>
      </c>
      <c r="D478" s="311">
        <f t="shared" si="214"/>
        <v>2.2909999999738893</v>
      </c>
      <c r="E478" s="311">
        <f t="shared" si="214"/>
        <v>13.384999999982897</v>
      </c>
      <c r="F478" s="311"/>
      <c r="G478" s="311">
        <f t="shared" ref="G478:J478" si="215">SUM(G468:G476)</f>
        <v>11.876000000062064</v>
      </c>
      <c r="H478" s="311">
        <f t="shared" si="215"/>
        <v>0.9700000000030119</v>
      </c>
      <c r="I478" s="311">
        <f t="shared" si="215"/>
        <v>3.6999999999621211E-2</v>
      </c>
      <c r="J478" s="311">
        <f t="shared" si="215"/>
        <v>12.883000000064698</v>
      </c>
      <c r="K478" s="311"/>
      <c r="L478" s="311">
        <f t="shared" ref="L478:O478" si="216">SUM(L468:L476)</f>
        <v>13.730000000167175</v>
      </c>
      <c r="M478" s="311">
        <f t="shared" si="216"/>
        <v>1.1430000000050087</v>
      </c>
      <c r="N478" s="311">
        <f t="shared" si="216"/>
        <v>4.0999999999759812E-2</v>
      </c>
      <c r="O478" s="311">
        <f t="shared" si="216"/>
        <v>14.914000000171946</v>
      </c>
    </row>
    <row r="479" spans="1:15" s="236" customFormat="1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2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2">
      <c r="A482" s="241" t="str">
        <f>name!A31</f>
        <v>Construction</v>
      </c>
      <c r="B482" s="374">
        <f>$B$6</f>
        <v>2015</v>
      </c>
      <c r="C482" s="374"/>
      <c r="D482" s="374"/>
      <c r="E482" s="374"/>
      <c r="F482" s="263"/>
      <c r="G482" s="374">
        <f>$G$6</f>
        <v>2020</v>
      </c>
      <c r="H482" s="374"/>
      <c r="I482" s="374"/>
      <c r="J482" s="374"/>
      <c r="K482" s="263"/>
      <c r="L482" s="374">
        <f>$L$6</f>
        <v>2035</v>
      </c>
      <c r="M482" s="374"/>
      <c r="N482" s="374"/>
      <c r="O482" s="374"/>
    </row>
    <row r="483" spans="1:15" s="236" customFormat="1" x14ac:dyDescent="0.2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2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2">
      <c r="A485" s="237" t="str">
        <f>name!E$4</f>
        <v>Managers, directors and senior officials</v>
      </c>
      <c r="B485" s="302">
        <v>3.5834280935477523</v>
      </c>
      <c r="C485" s="302">
        <v>0.32698285887297179</v>
      </c>
      <c r="D485" s="302">
        <v>0.91909395420227324</v>
      </c>
      <c r="E485" s="302">
        <f>SUM(B485:D485)</f>
        <v>4.8295049066229971</v>
      </c>
      <c r="F485" s="303"/>
      <c r="G485" s="302">
        <v>6.4391393523726146</v>
      </c>
      <c r="H485" s="302">
        <v>0.96890384874947366</v>
      </c>
      <c r="I485" s="302">
        <v>2.841169472652473</v>
      </c>
      <c r="J485" s="302">
        <f>SUM(G485:I485)</f>
        <v>10.249212673774561</v>
      </c>
      <c r="K485" s="303"/>
      <c r="L485" s="302">
        <v>7.8900958484012955</v>
      </c>
      <c r="M485" s="302">
        <v>1.238521906379509</v>
      </c>
      <c r="N485" s="302">
        <v>3.5878327677503101</v>
      </c>
      <c r="O485" s="302">
        <f>SUM(L485:N485)</f>
        <v>12.716450522531115</v>
      </c>
    </row>
    <row r="486" spans="1:15" s="236" customFormat="1" x14ac:dyDescent="0.2">
      <c r="A486" s="237" t="str">
        <f>name!E$5</f>
        <v>Professional occupations</v>
      </c>
      <c r="B486" s="302">
        <v>5.1414200553095499</v>
      </c>
      <c r="C486" s="302">
        <v>0.23153960210331229</v>
      </c>
      <c r="D486" s="302">
        <v>0.44851849840147484</v>
      </c>
      <c r="E486" s="302">
        <f t="shared" ref="E486:E493" si="217">SUM(B486:D486)</f>
        <v>5.8214781558143374</v>
      </c>
      <c r="F486" s="303"/>
      <c r="G486" s="302">
        <v>10.313650270323196</v>
      </c>
      <c r="H486" s="302">
        <v>0.61350694047853027</v>
      </c>
      <c r="I486" s="302">
        <v>1.0351826551689201</v>
      </c>
      <c r="J486" s="302">
        <f t="shared" ref="J486:J488" si="218">SUM(G486:I486)</f>
        <v>11.962339865970646</v>
      </c>
      <c r="K486" s="303"/>
      <c r="L486" s="302">
        <v>15.106772440860432</v>
      </c>
      <c r="M486" s="302">
        <v>0.80066714186836629</v>
      </c>
      <c r="N486" s="302">
        <v>0.99111816876909564</v>
      </c>
      <c r="O486" s="302">
        <f t="shared" ref="O486:O493" si="219">SUM(L486:N486)</f>
        <v>16.898557751497894</v>
      </c>
    </row>
    <row r="487" spans="1:15" s="236" customFormat="1" x14ac:dyDescent="0.2">
      <c r="A487" s="237" t="str">
        <f>name!E$6</f>
        <v>Associate professional occupations</v>
      </c>
      <c r="B487" s="302">
        <v>2.7991216975521112</v>
      </c>
      <c r="C487" s="302">
        <v>0.28007641016335233</v>
      </c>
      <c r="D487" s="302">
        <v>0.20960078159839723</v>
      </c>
      <c r="E487" s="302">
        <f t="shared" si="217"/>
        <v>3.2887988893138607</v>
      </c>
      <c r="F487" s="303"/>
      <c r="G487" s="302">
        <v>5.2853331335632614</v>
      </c>
      <c r="H487" s="302">
        <v>0.62638592590247111</v>
      </c>
      <c r="I487" s="302">
        <v>0.50328875547595442</v>
      </c>
      <c r="J487" s="302">
        <f t="shared" si="218"/>
        <v>6.4150078149416867</v>
      </c>
      <c r="K487" s="303"/>
      <c r="L487" s="302">
        <v>6.1712403297614289</v>
      </c>
      <c r="M487" s="302">
        <v>0.71803980044909987</v>
      </c>
      <c r="N487" s="302">
        <v>0.57889503238004836</v>
      </c>
      <c r="O487" s="302">
        <f t="shared" si="219"/>
        <v>7.468175162590577</v>
      </c>
    </row>
    <row r="488" spans="1:15" s="236" customFormat="1" x14ac:dyDescent="0.2">
      <c r="A488" s="237" t="str">
        <f>name!E$7</f>
        <v>Administrative and secretarial occupations</v>
      </c>
      <c r="B488" s="302">
        <v>2.2415715188536827</v>
      </c>
      <c r="C488" s="302">
        <v>1.6782109061052797</v>
      </c>
      <c r="D488" s="302">
        <v>0.53301021791719749</v>
      </c>
      <c r="E488" s="302">
        <f t="shared" si="217"/>
        <v>4.4527926428761599</v>
      </c>
      <c r="F488" s="303"/>
      <c r="G488" s="302">
        <v>3.0900375334744075</v>
      </c>
      <c r="H488" s="302">
        <v>2.4974352331891887</v>
      </c>
      <c r="I488" s="302">
        <v>2.0100489699544797</v>
      </c>
      <c r="J488" s="302">
        <f t="shared" si="218"/>
        <v>7.5975217366180763</v>
      </c>
      <c r="K488" s="303"/>
      <c r="L488" s="302">
        <v>2.3518244595258668</v>
      </c>
      <c r="M488" s="302">
        <v>2.8384103457604972</v>
      </c>
      <c r="N488" s="302">
        <v>1.8999165718343491</v>
      </c>
      <c r="O488" s="302">
        <f t="shared" si="219"/>
        <v>7.090151377120713</v>
      </c>
    </row>
    <row r="489" spans="1:15" s="236" customFormat="1" x14ac:dyDescent="0.2">
      <c r="A489" s="237" t="str">
        <f>name!E$8</f>
        <v>Skilled trades occupations</v>
      </c>
      <c r="B489" s="302">
        <v>9.4210155924385859</v>
      </c>
      <c r="C489" s="302">
        <v>0.51553099801716729</v>
      </c>
      <c r="D489" s="302">
        <v>16.976667535399429</v>
      </c>
      <c r="E489" s="302">
        <f t="shared" si="217"/>
        <v>26.913214125855184</v>
      </c>
      <c r="F489" s="303"/>
      <c r="G489" s="302">
        <v>12.249184948445359</v>
      </c>
      <c r="H489" s="302">
        <v>0.90492909678238431</v>
      </c>
      <c r="I489" s="302">
        <v>20.560902912748631</v>
      </c>
      <c r="J489" s="302">
        <f>SUM(G489:I489)</f>
        <v>33.715016957976374</v>
      </c>
      <c r="K489" s="303"/>
      <c r="L489" s="302">
        <v>12.092564679871385</v>
      </c>
      <c r="M489" s="302">
        <v>1.692306048090007</v>
      </c>
      <c r="N489" s="302">
        <v>25.664514864525941</v>
      </c>
      <c r="O489" s="302">
        <f t="shared" si="219"/>
        <v>39.449385592487332</v>
      </c>
    </row>
    <row r="490" spans="1:15" s="236" customFormat="1" x14ac:dyDescent="0.2">
      <c r="A490" s="237" t="str">
        <f>name!E$9</f>
        <v>Caring, leisure and other service occupations</v>
      </c>
      <c r="B490" s="302">
        <v>8.8756818910358248E-2</v>
      </c>
      <c r="C490" s="302">
        <v>1.8345085786579032E-2</v>
      </c>
      <c r="D490" s="302">
        <v>1.4791801838074018E-2</v>
      </c>
      <c r="E490" s="302">
        <f t="shared" si="217"/>
        <v>0.1218937065350113</v>
      </c>
      <c r="F490" s="303"/>
      <c r="G490" s="302">
        <v>0.14761266497573658</v>
      </c>
      <c r="H490" s="302">
        <v>4.1818177569837689E-2</v>
      </c>
      <c r="I490" s="302">
        <v>6.3818761941037125E-2</v>
      </c>
      <c r="J490" s="302">
        <f t="shared" ref="J490:J493" si="220">SUM(G490:I490)</f>
        <v>0.25324960448661138</v>
      </c>
      <c r="K490" s="303"/>
      <c r="L490" s="302">
        <v>0.18111059338056401</v>
      </c>
      <c r="M490" s="302">
        <v>3.6814594033997797E-2</v>
      </c>
      <c r="N490" s="302">
        <v>0.15813067215443696</v>
      </c>
      <c r="O490" s="302">
        <f t="shared" si="219"/>
        <v>0.37605585956899878</v>
      </c>
    </row>
    <row r="491" spans="1:15" s="236" customFormat="1" x14ac:dyDescent="0.2">
      <c r="A491" s="237" t="str">
        <f>name!E$10</f>
        <v>Sales and customer service occupations</v>
      </c>
      <c r="B491" s="302">
        <v>0.62412607704470069</v>
      </c>
      <c r="C491" s="302">
        <v>0.33328246735992217</v>
      </c>
      <c r="D491" s="302">
        <v>0.10750529826327969</v>
      </c>
      <c r="E491" s="302">
        <f t="shared" si="217"/>
        <v>1.0649138426679026</v>
      </c>
      <c r="F491" s="303"/>
      <c r="G491" s="302">
        <v>0.91922939397935532</v>
      </c>
      <c r="H491" s="302">
        <v>0.60709369688205872</v>
      </c>
      <c r="I491" s="302">
        <v>0.23010977964763635</v>
      </c>
      <c r="J491" s="302">
        <f t="shared" si="220"/>
        <v>1.7564328705090504</v>
      </c>
      <c r="K491" s="303"/>
      <c r="L491" s="302">
        <v>1.1840555310743874</v>
      </c>
      <c r="M491" s="302">
        <v>0.82821298310412983</v>
      </c>
      <c r="N491" s="302">
        <v>0.33435270764457109</v>
      </c>
      <c r="O491" s="302">
        <f t="shared" si="219"/>
        <v>2.3466212218230882</v>
      </c>
    </row>
    <row r="492" spans="1:15" s="236" customFormat="1" x14ac:dyDescent="0.2">
      <c r="A492" s="237" t="str">
        <f>name!E$11</f>
        <v>Process, plant and machine operatives</v>
      </c>
      <c r="B492" s="302">
        <v>3.4935453858463097</v>
      </c>
      <c r="C492" s="302">
        <v>8.7386969877497195E-2</v>
      </c>
      <c r="D492" s="302">
        <v>0.83749845105059173</v>
      </c>
      <c r="E492" s="302">
        <f t="shared" si="217"/>
        <v>4.4184308067743991</v>
      </c>
      <c r="F492" s="303"/>
      <c r="G492" s="302">
        <v>4.5405185908336625</v>
      </c>
      <c r="H492" s="302">
        <v>0.27059231817946999</v>
      </c>
      <c r="I492" s="302">
        <v>1.3856590662945814</v>
      </c>
      <c r="J492" s="302">
        <f t="shared" si="220"/>
        <v>6.1967699753077135</v>
      </c>
      <c r="K492" s="303"/>
      <c r="L492" s="302">
        <v>5.7672992373092269</v>
      </c>
      <c r="M492" s="302">
        <v>0.34416874822971955</v>
      </c>
      <c r="N492" s="302">
        <v>2.1097102816533098</v>
      </c>
      <c r="O492" s="302">
        <f t="shared" si="219"/>
        <v>8.221178267192256</v>
      </c>
    </row>
    <row r="493" spans="1:15" s="236" customFormat="1" x14ac:dyDescent="0.2">
      <c r="A493" s="237" t="str">
        <f>name!E$12</f>
        <v>Elementary occupations</v>
      </c>
      <c r="B493" s="302">
        <v>1.6650147605127672</v>
      </c>
      <c r="C493" s="302">
        <v>0.30164470170523661</v>
      </c>
      <c r="D493" s="302">
        <v>0.90931346051612372</v>
      </c>
      <c r="E493" s="302">
        <f t="shared" si="217"/>
        <v>2.8759729227341273</v>
      </c>
      <c r="F493" s="303"/>
      <c r="G493" s="302">
        <v>2.0962941122199283</v>
      </c>
      <c r="H493" s="302">
        <v>0.58533476233630599</v>
      </c>
      <c r="I493" s="302">
        <v>1.3888196254896124</v>
      </c>
      <c r="J493" s="302">
        <f t="shared" si="220"/>
        <v>4.0704485000458472</v>
      </c>
      <c r="K493" s="303"/>
      <c r="L493" s="302">
        <v>1.7530368804976337</v>
      </c>
      <c r="M493" s="302">
        <v>0.4488584320524675</v>
      </c>
      <c r="N493" s="302">
        <v>2.0065289315064558</v>
      </c>
      <c r="O493" s="302">
        <f t="shared" si="219"/>
        <v>4.2084242440565571</v>
      </c>
    </row>
    <row r="494" spans="1:15" s="236" customFormat="1" x14ac:dyDescent="0.2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2">
      <c r="A495" s="244" t="s">
        <v>32</v>
      </c>
      <c r="B495" s="311">
        <f>SUM(B485:B493)</f>
        <v>29.05800000001582</v>
      </c>
      <c r="C495" s="311">
        <f t="shared" ref="C495:E495" si="221">SUM(C485:C493)</f>
        <v>3.7729999999913182</v>
      </c>
      <c r="D495" s="311">
        <f t="shared" si="221"/>
        <v>20.955999999186844</v>
      </c>
      <c r="E495" s="311">
        <f t="shared" si="221"/>
        <v>53.786999999193988</v>
      </c>
      <c r="F495" s="311"/>
      <c r="G495" s="311">
        <f t="shared" ref="G495:J495" si="222">SUM(G485:G493)</f>
        <v>45.08100000018753</v>
      </c>
      <c r="H495" s="311">
        <f t="shared" si="222"/>
        <v>7.1160000000697199</v>
      </c>
      <c r="I495" s="311">
        <f t="shared" si="222"/>
        <v>30.018999999373328</v>
      </c>
      <c r="J495" s="311">
        <f t="shared" si="222"/>
        <v>82.215999999630554</v>
      </c>
      <c r="K495" s="311"/>
      <c r="L495" s="311">
        <f t="shared" ref="L495:O495" si="223">SUM(L485:L493)</f>
        <v>52.498000000682218</v>
      </c>
      <c r="M495" s="311">
        <f t="shared" si="223"/>
        <v>8.9459999999677944</v>
      </c>
      <c r="N495" s="311">
        <f t="shared" si="223"/>
        <v>37.330999998218516</v>
      </c>
      <c r="O495" s="311">
        <f t="shared" si="223"/>
        <v>98.774999998868523</v>
      </c>
    </row>
    <row r="496" spans="1:15" s="236" customFormat="1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2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2">
      <c r="A499" s="241" t="str">
        <f>name!A32</f>
        <v>Civil engineering</v>
      </c>
      <c r="B499" s="374">
        <f>$B$6</f>
        <v>2015</v>
      </c>
      <c r="C499" s="374"/>
      <c r="D499" s="374"/>
      <c r="E499" s="374"/>
      <c r="F499" s="263"/>
      <c r="G499" s="374">
        <f>$G$6</f>
        <v>2020</v>
      </c>
      <c r="H499" s="374"/>
      <c r="I499" s="374"/>
      <c r="J499" s="374"/>
      <c r="K499" s="263"/>
      <c r="L499" s="374">
        <f>$L$6</f>
        <v>2035</v>
      </c>
      <c r="M499" s="374"/>
      <c r="N499" s="374"/>
      <c r="O499" s="374"/>
    </row>
    <row r="500" spans="1:15" s="236" customFormat="1" x14ac:dyDescent="0.2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2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2">
      <c r="A502" s="237" t="str">
        <f>name!E$4</f>
        <v>Managers, directors and senior officials</v>
      </c>
      <c r="B502" s="302">
        <v>1.2179362489507863</v>
      </c>
      <c r="C502" s="302">
        <v>7.7630234660076389E-2</v>
      </c>
      <c r="D502" s="302">
        <v>0.33569069115874112</v>
      </c>
      <c r="E502" s="302">
        <f>SUM(B502:D502)</f>
        <v>1.6312571747696039</v>
      </c>
      <c r="F502" s="303"/>
      <c r="G502" s="302">
        <v>1.7348132985022895</v>
      </c>
      <c r="H502" s="302">
        <v>0.19220969901236476</v>
      </c>
      <c r="I502" s="302">
        <v>0.60523769303607344</v>
      </c>
      <c r="J502" s="302">
        <f>SUM(G502:I502)</f>
        <v>2.5322606905507277</v>
      </c>
      <c r="K502" s="303"/>
      <c r="L502" s="302">
        <v>2.0576988331862189</v>
      </c>
      <c r="M502" s="302">
        <v>0.24117779808461012</v>
      </c>
      <c r="N502" s="302">
        <v>0.77784514877889088</v>
      </c>
      <c r="O502" s="302">
        <f>SUM(L502:N502)</f>
        <v>3.07672178004972</v>
      </c>
    </row>
    <row r="503" spans="1:15" s="236" customFormat="1" x14ac:dyDescent="0.2">
      <c r="A503" s="237" t="str">
        <f>name!E$5</f>
        <v>Professional occupations</v>
      </c>
      <c r="B503" s="302">
        <v>1.7549888553965027</v>
      </c>
      <c r="C503" s="302">
        <v>5.5669524604090401E-2</v>
      </c>
      <c r="D503" s="302">
        <v>0.1726353248811201</v>
      </c>
      <c r="E503" s="302">
        <f t="shared" ref="E503:E510" si="224">SUM(B503:D503)</f>
        <v>1.9832937048817132</v>
      </c>
      <c r="F503" s="303"/>
      <c r="G503" s="302">
        <v>2.790180443577869</v>
      </c>
      <c r="H503" s="302">
        <v>0.12364038591874683</v>
      </c>
      <c r="I503" s="302">
        <v>0.25622338928828475</v>
      </c>
      <c r="J503" s="302">
        <f t="shared" ref="J503:J505" si="225">SUM(G503:I503)</f>
        <v>3.1700442187849003</v>
      </c>
      <c r="K503" s="303"/>
      <c r="L503" s="302">
        <v>4.0433841322468336</v>
      </c>
      <c r="M503" s="302">
        <v>0.15837835747947479</v>
      </c>
      <c r="N503" s="302">
        <v>0.22864974705672936</v>
      </c>
      <c r="O503" s="302">
        <f t="shared" ref="O503:O510" si="226">SUM(L503:N503)</f>
        <v>4.4304122367830372</v>
      </c>
    </row>
    <row r="504" spans="1:15" s="236" customFormat="1" x14ac:dyDescent="0.2">
      <c r="A504" s="237" t="str">
        <f>name!E$6</f>
        <v>Associate professional occupations</v>
      </c>
      <c r="B504" s="302">
        <v>0.90976218331339076</v>
      </c>
      <c r="C504" s="302">
        <v>6.4375959020121373E-2</v>
      </c>
      <c r="D504" s="302">
        <v>7.4862674798120546E-2</v>
      </c>
      <c r="E504" s="302">
        <f t="shared" si="224"/>
        <v>1.0490008171316327</v>
      </c>
      <c r="F504" s="303"/>
      <c r="G504" s="302">
        <v>1.3720634123234252</v>
      </c>
      <c r="H504" s="302">
        <v>0.12435411901713422</v>
      </c>
      <c r="I504" s="302">
        <v>0.10487940462023967</v>
      </c>
      <c r="J504" s="302">
        <f t="shared" si="225"/>
        <v>1.6012969359607991</v>
      </c>
      <c r="K504" s="303"/>
      <c r="L504" s="302">
        <v>1.5518047263904537</v>
      </c>
      <c r="M504" s="302">
        <v>0.13402526303816439</v>
      </c>
      <c r="N504" s="302">
        <v>0.11821012965833413</v>
      </c>
      <c r="O504" s="302">
        <f t="shared" si="226"/>
        <v>1.8040401190869524</v>
      </c>
    </row>
    <row r="505" spans="1:15" s="236" customFormat="1" x14ac:dyDescent="0.2">
      <c r="A505" s="237" t="str">
        <f>name!E$7</f>
        <v>Administrative and secretarial occupations</v>
      </c>
      <c r="B505" s="302">
        <v>0.35214096186607752</v>
      </c>
      <c r="C505" s="302">
        <v>0.34892624846183334</v>
      </c>
      <c r="D505" s="302">
        <v>0.1330243868626983</v>
      </c>
      <c r="E505" s="302">
        <f t="shared" si="224"/>
        <v>0.8340915971906091</v>
      </c>
      <c r="F505" s="303"/>
      <c r="G505" s="302">
        <v>0.41149771742630081</v>
      </c>
      <c r="H505" s="302">
        <v>0.40151200988346314</v>
      </c>
      <c r="I505" s="302">
        <v>0.20623263159214203</v>
      </c>
      <c r="J505" s="302">
        <f t="shared" si="225"/>
        <v>1.019242358901906</v>
      </c>
      <c r="K505" s="303"/>
      <c r="L505" s="302">
        <v>0.36002426487359779</v>
      </c>
      <c r="M505" s="302">
        <v>0.45352445190900725</v>
      </c>
      <c r="N505" s="302">
        <v>0.2525925694142811</v>
      </c>
      <c r="O505" s="302">
        <f t="shared" si="226"/>
        <v>1.0661412861968862</v>
      </c>
    </row>
    <row r="506" spans="1:15" s="236" customFormat="1" x14ac:dyDescent="0.2">
      <c r="A506" s="237" t="str">
        <f>name!E$8</f>
        <v>Skilled trades occupations</v>
      </c>
      <c r="B506" s="302">
        <v>3.6536306749456471</v>
      </c>
      <c r="C506" s="302">
        <v>0.17650761578246849</v>
      </c>
      <c r="D506" s="302">
        <v>6.9762847779674582</v>
      </c>
      <c r="E506" s="302">
        <f t="shared" si="224"/>
        <v>10.806423068695574</v>
      </c>
      <c r="F506" s="303"/>
      <c r="G506" s="302">
        <v>3.7015299033820028</v>
      </c>
      <c r="H506" s="302">
        <v>0.23055915781159861</v>
      </c>
      <c r="I506" s="302">
        <v>6.4736197235876132</v>
      </c>
      <c r="J506" s="302">
        <f>SUM(G506:I506)</f>
        <v>10.405708784781215</v>
      </c>
      <c r="K506" s="303"/>
      <c r="L506" s="302">
        <v>3.5726161198820887</v>
      </c>
      <c r="M506" s="302">
        <v>0.42886057821130896</v>
      </c>
      <c r="N506" s="302">
        <v>8.0532848556375729</v>
      </c>
      <c r="O506" s="302">
        <f t="shared" si="226"/>
        <v>12.05476155373097</v>
      </c>
    </row>
    <row r="507" spans="1:15" s="236" customFormat="1" x14ac:dyDescent="0.2">
      <c r="A507" s="237" t="str">
        <f>name!E$9</f>
        <v>Caring, leisure and other service occupations</v>
      </c>
      <c r="B507" s="302">
        <v>2.7764820491855881E-2</v>
      </c>
      <c r="C507" s="302">
        <v>4.9602188499979572E-3</v>
      </c>
      <c r="D507" s="302">
        <v>4.1163129756136485E-3</v>
      </c>
      <c r="E507" s="302">
        <f t="shared" si="224"/>
        <v>3.6841352317467491E-2</v>
      </c>
      <c r="F507" s="303"/>
      <c r="G507" s="302">
        <v>3.8281823381694044E-2</v>
      </c>
      <c r="H507" s="302">
        <v>9.7503002626078469E-3</v>
      </c>
      <c r="I507" s="302">
        <v>7.5502941136202208E-3</v>
      </c>
      <c r="J507" s="302">
        <f t="shared" ref="J507:J510" si="227">SUM(G507:I507)</f>
        <v>5.5582417757922116E-2</v>
      </c>
      <c r="K507" s="303"/>
      <c r="L507" s="302">
        <v>4.7801725408835517E-2</v>
      </c>
      <c r="M507" s="302">
        <v>8.249056640629495E-3</v>
      </c>
      <c r="N507" s="302">
        <v>2.1864681187842953E-2</v>
      </c>
      <c r="O507" s="302">
        <f t="shared" si="226"/>
        <v>7.7915463237307969E-2</v>
      </c>
    </row>
    <row r="508" spans="1:15" s="236" customFormat="1" x14ac:dyDescent="0.2">
      <c r="A508" s="237" t="str">
        <f>name!E$10</f>
        <v>Sales and customer service occupations</v>
      </c>
      <c r="B508" s="302">
        <v>0.15969014233185896</v>
      </c>
      <c r="C508" s="302">
        <v>7.7102206014596719E-2</v>
      </c>
      <c r="D508" s="302">
        <v>3.7206568761238755E-2</v>
      </c>
      <c r="E508" s="302">
        <f t="shared" si="224"/>
        <v>0.27399891710769442</v>
      </c>
      <c r="F508" s="303"/>
      <c r="G508" s="302">
        <v>0.19333733963569119</v>
      </c>
      <c r="H508" s="302">
        <v>0.11515434817166388</v>
      </c>
      <c r="I508" s="302">
        <v>4.4409611962832066E-2</v>
      </c>
      <c r="J508" s="302">
        <f t="shared" si="227"/>
        <v>0.35290129977018714</v>
      </c>
      <c r="K508" s="303"/>
      <c r="L508" s="302">
        <v>0.25320465026701444</v>
      </c>
      <c r="M508" s="302">
        <v>0.15966550102915614</v>
      </c>
      <c r="N508" s="302">
        <v>6.3046518845206151E-2</v>
      </c>
      <c r="O508" s="302">
        <f t="shared" si="226"/>
        <v>0.47591667014137673</v>
      </c>
    </row>
    <row r="509" spans="1:15" s="236" customFormat="1" x14ac:dyDescent="0.2">
      <c r="A509" s="237" t="str">
        <f>name!E$11</f>
        <v>Process, plant and machine operatives</v>
      </c>
      <c r="B509" s="302">
        <v>1.361183163154658</v>
      </c>
      <c r="C509" s="302">
        <v>2.9465782131373651E-2</v>
      </c>
      <c r="D509" s="302">
        <v>0.34359378608415198</v>
      </c>
      <c r="E509" s="302">
        <f t="shared" si="224"/>
        <v>1.7342427313701838</v>
      </c>
      <c r="F509" s="303"/>
      <c r="G509" s="302">
        <v>1.3882255673440478</v>
      </c>
      <c r="H509" s="302">
        <v>7.1547676270496144E-2</v>
      </c>
      <c r="I509" s="302">
        <v>0.43313439546343002</v>
      </c>
      <c r="J509" s="302">
        <f t="shared" si="227"/>
        <v>1.8929076390779738</v>
      </c>
      <c r="K509" s="303"/>
      <c r="L509" s="302">
        <v>1.7678600459448741</v>
      </c>
      <c r="M509" s="302">
        <v>9.0233550328898002E-2</v>
      </c>
      <c r="N509" s="302">
        <v>0.65405486274637636</v>
      </c>
      <c r="O509" s="302">
        <f t="shared" si="226"/>
        <v>2.5121484590201484</v>
      </c>
    </row>
    <row r="510" spans="1:15" s="236" customFormat="1" x14ac:dyDescent="0.2">
      <c r="A510" s="237" t="str">
        <f>name!E$12</f>
        <v>Elementary occupations</v>
      </c>
      <c r="B510" s="302">
        <v>0.6479029495585571</v>
      </c>
      <c r="C510" s="302">
        <v>8.9362210474487905E-2</v>
      </c>
      <c r="D510" s="302">
        <v>0.35858547617610104</v>
      </c>
      <c r="E510" s="302">
        <f t="shared" si="224"/>
        <v>1.095850636209146</v>
      </c>
      <c r="F510" s="303"/>
      <c r="G510" s="302">
        <v>0.64007049450682507</v>
      </c>
      <c r="H510" s="302">
        <v>0.14227230366485935</v>
      </c>
      <c r="I510" s="302">
        <v>0.390712856141123</v>
      </c>
      <c r="J510" s="302">
        <f t="shared" si="227"/>
        <v>1.1730556543128074</v>
      </c>
      <c r="K510" s="303"/>
      <c r="L510" s="302">
        <v>0.53460550199156254</v>
      </c>
      <c r="M510" s="302">
        <v>0.10488544327677433</v>
      </c>
      <c r="N510" s="302">
        <v>0.57745148610283403</v>
      </c>
      <c r="O510" s="302">
        <f t="shared" si="226"/>
        <v>1.2169424313711708</v>
      </c>
    </row>
    <row r="511" spans="1:15" s="236" customFormat="1" x14ac:dyDescent="0.2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2">
      <c r="A512" s="244" t="s">
        <v>32</v>
      </c>
      <c r="B512" s="311">
        <f>SUM(B502:B510)</f>
        <v>10.085000000009334</v>
      </c>
      <c r="C512" s="311">
        <f t="shared" ref="C512:E512" si="228">SUM(C502:C510)</f>
        <v>0.92399999999904625</v>
      </c>
      <c r="D512" s="311">
        <f t="shared" si="228"/>
        <v>8.4359999996652437</v>
      </c>
      <c r="E512" s="311">
        <f t="shared" si="228"/>
        <v>19.444999999673623</v>
      </c>
      <c r="F512" s="311"/>
      <c r="G512" s="311">
        <f t="shared" ref="G512:J512" si="229">SUM(G502:G510)</f>
        <v>12.270000000080145</v>
      </c>
      <c r="H512" s="311">
        <f t="shared" si="229"/>
        <v>1.4110000000129348</v>
      </c>
      <c r="I512" s="311">
        <f t="shared" si="229"/>
        <v>8.5219999998053595</v>
      </c>
      <c r="J512" s="311">
        <f t="shared" si="229"/>
        <v>22.202999999898442</v>
      </c>
      <c r="K512" s="311"/>
      <c r="L512" s="311">
        <f t="shared" ref="L512:O512" si="230">SUM(L502:L510)</f>
        <v>14.189000000191477</v>
      </c>
      <c r="M512" s="311">
        <f t="shared" si="230"/>
        <v>1.7789999999980233</v>
      </c>
      <c r="N512" s="311">
        <f t="shared" si="230"/>
        <v>10.746999999428068</v>
      </c>
      <c r="O512" s="311">
        <f t="shared" si="230"/>
        <v>26.714999999617568</v>
      </c>
    </row>
    <row r="513" spans="1:15" s="236" customFormat="1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2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2">
      <c r="A516" s="241" t="str">
        <f>name!A33</f>
        <v>Specialised construction</v>
      </c>
      <c r="B516" s="374">
        <f>$B$6</f>
        <v>2015</v>
      </c>
      <c r="C516" s="374"/>
      <c r="D516" s="374"/>
      <c r="E516" s="374"/>
      <c r="F516" s="263"/>
      <c r="G516" s="374">
        <f>$G$6</f>
        <v>2020</v>
      </c>
      <c r="H516" s="374"/>
      <c r="I516" s="374"/>
      <c r="J516" s="374"/>
      <c r="K516" s="263"/>
      <c r="L516" s="374">
        <f>$L$6</f>
        <v>2035</v>
      </c>
      <c r="M516" s="374"/>
      <c r="N516" s="374"/>
      <c r="O516" s="374"/>
    </row>
    <row r="517" spans="1:15" s="236" customFormat="1" x14ac:dyDescent="0.2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2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2">
      <c r="A519" s="237" t="str">
        <f>name!E$4</f>
        <v>Managers, directors and senior officials</v>
      </c>
      <c r="B519" s="302">
        <v>7.5966558791093286</v>
      </c>
      <c r="C519" s="302">
        <v>0.77512017349618823</v>
      </c>
      <c r="D519" s="302">
        <v>2.0368844898884291</v>
      </c>
      <c r="E519" s="302">
        <f>SUM(B519:D519)</f>
        <v>10.408660542493946</v>
      </c>
      <c r="F519" s="303"/>
      <c r="G519" s="302">
        <v>9.232541499791342</v>
      </c>
      <c r="H519" s="302">
        <v>1.3575242714879237</v>
      </c>
      <c r="I519" s="302">
        <v>3.2439894084127814</v>
      </c>
      <c r="J519" s="302">
        <f>SUM(G519:I519)</f>
        <v>13.834055179692047</v>
      </c>
      <c r="K519" s="303"/>
      <c r="L519" s="302">
        <v>11.165142924244917</v>
      </c>
      <c r="M519" s="302">
        <v>1.7408040796129622</v>
      </c>
      <c r="N519" s="302">
        <v>3.9299753841511245</v>
      </c>
      <c r="O519" s="302">
        <f>SUM(L519:N519)</f>
        <v>16.835922388009003</v>
      </c>
    </row>
    <row r="520" spans="1:15" s="236" customFormat="1" x14ac:dyDescent="0.2">
      <c r="A520" s="237" t="str">
        <f>name!E$5</f>
        <v>Professional occupations</v>
      </c>
      <c r="B520" s="302">
        <v>10.918522690445979</v>
      </c>
      <c r="C520" s="302">
        <v>0.54775660924284331</v>
      </c>
      <c r="D520" s="302">
        <v>1.0598598762315603</v>
      </c>
      <c r="E520" s="302">
        <f t="shared" ref="E520:E527" si="231">SUM(B520:D520)</f>
        <v>12.526139175920381</v>
      </c>
      <c r="F520" s="303"/>
      <c r="G520" s="302">
        <v>14.812865024339505</v>
      </c>
      <c r="H520" s="302">
        <v>0.85717366473503398</v>
      </c>
      <c r="I520" s="302">
        <v>1.365974481962541</v>
      </c>
      <c r="J520" s="302">
        <f t="shared" ref="J520:J522" si="232">SUM(G520:I520)</f>
        <v>17.03601317103708</v>
      </c>
      <c r="K520" s="303"/>
      <c r="L520" s="302">
        <v>21.602340380109361</v>
      </c>
      <c r="M520" s="302">
        <v>1.1223059392637911</v>
      </c>
      <c r="N520" s="302">
        <v>1.1657178626657743</v>
      </c>
      <c r="O520" s="302">
        <f t="shared" ref="O520:O527" si="233">SUM(L520:N520)</f>
        <v>23.890364182038923</v>
      </c>
    </row>
    <row r="521" spans="1:15" s="236" customFormat="1" x14ac:dyDescent="0.2">
      <c r="A521" s="237" t="str">
        <f>name!E$6</f>
        <v>Associate professional occupations</v>
      </c>
      <c r="B521" s="302">
        <v>5.8287964850904102</v>
      </c>
      <c r="C521" s="302">
        <v>0.66730127016582774</v>
      </c>
      <c r="D521" s="302">
        <v>0.4518769108245293</v>
      </c>
      <c r="E521" s="302">
        <f t="shared" si="231"/>
        <v>6.9479746660807669</v>
      </c>
      <c r="F521" s="303"/>
      <c r="G521" s="302">
        <v>7.4655175248211245</v>
      </c>
      <c r="H521" s="302">
        <v>0.8775095981066775</v>
      </c>
      <c r="I521" s="302">
        <v>0.56261906684112817</v>
      </c>
      <c r="J521" s="302">
        <f t="shared" si="232"/>
        <v>8.9056461897689303</v>
      </c>
      <c r="K521" s="303"/>
      <c r="L521" s="302">
        <v>8.607682416692235</v>
      </c>
      <c r="M521" s="302">
        <v>1.0164687417993157</v>
      </c>
      <c r="N521" s="302">
        <v>0.59168770562974926</v>
      </c>
      <c r="O521" s="302">
        <f t="shared" si="233"/>
        <v>10.215838864121299</v>
      </c>
    </row>
    <row r="522" spans="1:15" s="236" customFormat="1" x14ac:dyDescent="0.2">
      <c r="A522" s="237" t="str">
        <f>name!E$7</f>
        <v>Administrative and secretarial occupations</v>
      </c>
      <c r="B522" s="302">
        <v>3.7161988833760242</v>
      </c>
      <c r="C522" s="302">
        <v>4.0570929429672962</v>
      </c>
      <c r="D522" s="302">
        <v>0.72078767651796338</v>
      </c>
      <c r="E522" s="302">
        <f t="shared" si="231"/>
        <v>8.4940795028612843</v>
      </c>
      <c r="F522" s="303"/>
      <c r="G522" s="302">
        <v>3.5164160686829407</v>
      </c>
      <c r="H522" s="302">
        <v>3.6160253210526432</v>
      </c>
      <c r="I522" s="302">
        <v>1.1510509277425742</v>
      </c>
      <c r="J522" s="302">
        <f t="shared" si="232"/>
        <v>8.2834923174781583</v>
      </c>
      <c r="K522" s="303"/>
      <c r="L522" s="302">
        <v>2.7779239393852193</v>
      </c>
      <c r="M522" s="302">
        <v>4.1131768224226528</v>
      </c>
      <c r="N522" s="302">
        <v>1.1548644287961205</v>
      </c>
      <c r="O522" s="302">
        <f t="shared" si="233"/>
        <v>8.045965190603992</v>
      </c>
    </row>
    <row r="523" spans="1:15" s="236" customFormat="1" x14ac:dyDescent="0.2">
      <c r="A523" s="237" t="str">
        <f>name!E$8</f>
        <v>Skilled trades occupations</v>
      </c>
      <c r="B523" s="302">
        <v>21.113694456968712</v>
      </c>
      <c r="C523" s="302">
        <v>1.1358789507758811</v>
      </c>
      <c r="D523" s="302">
        <v>43.416998547282724</v>
      </c>
      <c r="E523" s="302">
        <f t="shared" si="231"/>
        <v>65.666571955027308</v>
      </c>
      <c r="F523" s="303"/>
      <c r="G523" s="302">
        <v>18.434609577665107</v>
      </c>
      <c r="H523" s="302">
        <v>1.2043715447160912</v>
      </c>
      <c r="I523" s="302">
        <v>34.266877456361215</v>
      </c>
      <c r="J523" s="302">
        <f>SUM(G523:I523)</f>
        <v>53.905858578742411</v>
      </c>
      <c r="K523" s="303"/>
      <c r="L523" s="302">
        <v>18.02173217155708</v>
      </c>
      <c r="M523" s="302">
        <v>2.2548242767839457</v>
      </c>
      <c r="N523" s="302">
        <v>42.584090601414587</v>
      </c>
      <c r="O523" s="302">
        <f t="shared" si="233"/>
        <v>62.860647049755613</v>
      </c>
    </row>
    <row r="524" spans="1:15" s="236" customFormat="1" x14ac:dyDescent="0.2">
      <c r="A524" s="237" t="str">
        <f>name!E$9</f>
        <v>Caring, leisure and other service occupations</v>
      </c>
      <c r="B524" s="302">
        <v>0.18208720536450654</v>
      </c>
      <c r="C524" s="302">
        <v>4.2523965200238475E-2</v>
      </c>
      <c r="D524" s="302">
        <v>2.3174792630011858E-2</v>
      </c>
      <c r="E524" s="302">
        <f t="shared" si="231"/>
        <v>0.24778596319475685</v>
      </c>
      <c r="F524" s="303"/>
      <c r="G524" s="302">
        <v>0.2084195756389447</v>
      </c>
      <c r="H524" s="302">
        <v>5.6781115020360748E-2</v>
      </c>
      <c r="I524" s="302">
        <v>4.1712351570311952E-2</v>
      </c>
      <c r="J524" s="302">
        <f t="shared" ref="J524:J527" si="234">SUM(G524:I524)</f>
        <v>0.30691304222961741</v>
      </c>
      <c r="K524" s="303"/>
      <c r="L524" s="302">
        <v>0.25752211343799131</v>
      </c>
      <c r="M524" s="302">
        <v>5.0398381456072165E-2</v>
      </c>
      <c r="N524" s="302">
        <v>0.10101116357657504</v>
      </c>
      <c r="O524" s="302">
        <f t="shared" si="233"/>
        <v>0.4089316584706385</v>
      </c>
    </row>
    <row r="525" spans="1:15" s="236" customFormat="1" x14ac:dyDescent="0.2">
      <c r="A525" s="237" t="str">
        <f>name!E$10</f>
        <v>Sales and customer service occupations</v>
      </c>
      <c r="B525" s="302">
        <v>1.1905452236962895</v>
      </c>
      <c r="C525" s="302">
        <v>0.79327705147272531</v>
      </c>
      <c r="D525" s="302">
        <v>0.22287571696457836</v>
      </c>
      <c r="E525" s="302">
        <f t="shared" si="231"/>
        <v>2.2066979921335932</v>
      </c>
      <c r="F525" s="303"/>
      <c r="G525" s="302">
        <v>1.2000652687295092</v>
      </c>
      <c r="H525" s="302">
        <v>0.85716539689852622</v>
      </c>
      <c r="I525" s="302">
        <v>0.23897779057871746</v>
      </c>
      <c r="J525" s="302">
        <f t="shared" si="234"/>
        <v>2.2962084562067528</v>
      </c>
      <c r="K525" s="303"/>
      <c r="L525" s="302">
        <v>1.5548165661099602</v>
      </c>
      <c r="M525" s="302">
        <v>1.1661046812017342</v>
      </c>
      <c r="N525" s="302">
        <v>0.3113448748833379</v>
      </c>
      <c r="O525" s="302">
        <f t="shared" si="233"/>
        <v>3.0322661221950322</v>
      </c>
    </row>
    <row r="526" spans="1:15" s="236" customFormat="1" x14ac:dyDescent="0.2">
      <c r="A526" s="237" t="str">
        <f>name!E$11</f>
        <v>Process, plant and machine operatives</v>
      </c>
      <c r="B526" s="302">
        <v>7.8454735996407488</v>
      </c>
      <c r="C526" s="302">
        <v>0.19326417237530533</v>
      </c>
      <c r="D526" s="302">
        <v>2.1376599186159839</v>
      </c>
      <c r="E526" s="302">
        <f t="shared" si="231"/>
        <v>10.176397690632038</v>
      </c>
      <c r="F526" s="303"/>
      <c r="G526" s="302">
        <v>6.8683828927112351</v>
      </c>
      <c r="H526" s="302">
        <v>0.35688895722139091</v>
      </c>
      <c r="I526" s="302">
        <v>2.2931521195199061</v>
      </c>
      <c r="J526" s="302">
        <f t="shared" si="234"/>
        <v>9.518423969452531</v>
      </c>
      <c r="K526" s="303"/>
      <c r="L526" s="302">
        <v>8.73401871728176</v>
      </c>
      <c r="M526" s="302">
        <v>0.45481140517691082</v>
      </c>
      <c r="N526" s="302">
        <v>3.4543211166218786</v>
      </c>
      <c r="O526" s="302">
        <f t="shared" si="233"/>
        <v>12.643151239080549</v>
      </c>
    </row>
    <row r="527" spans="1:15" s="236" customFormat="1" x14ac:dyDescent="0.2">
      <c r="A527" s="237" t="str">
        <f>name!E$12</f>
        <v>Elementary occupations</v>
      </c>
      <c r="B527" s="302">
        <v>3.7370255763515514</v>
      </c>
      <c r="C527" s="302">
        <v>0.68678486428135432</v>
      </c>
      <c r="D527" s="302">
        <v>2.2128820689601456</v>
      </c>
      <c r="E527" s="302">
        <f t="shared" si="231"/>
        <v>6.6366925095930513</v>
      </c>
      <c r="F527" s="303"/>
      <c r="G527" s="302">
        <v>3.1691825679535413</v>
      </c>
      <c r="H527" s="302">
        <v>0.78756013086016541</v>
      </c>
      <c r="I527" s="302">
        <v>2.0746463959801522</v>
      </c>
      <c r="J527" s="302">
        <f t="shared" si="234"/>
        <v>6.0313890947938589</v>
      </c>
      <c r="K527" s="303"/>
      <c r="L527" s="302">
        <v>2.6488207721763173</v>
      </c>
      <c r="M527" s="302">
        <v>0.60910567223198808</v>
      </c>
      <c r="N527" s="302">
        <v>3.0259868592297643</v>
      </c>
      <c r="O527" s="302">
        <f t="shared" si="233"/>
        <v>6.2839133036380694</v>
      </c>
    </row>
    <row r="528" spans="1:15" s="236" customFormat="1" x14ac:dyDescent="0.2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2">
      <c r="A529" s="244" t="s">
        <v>32</v>
      </c>
      <c r="B529" s="311">
        <f>SUM(B519:B527)</f>
        <v>62.12900000004354</v>
      </c>
      <c r="C529" s="311">
        <f t="shared" ref="C529:E529" si="235">SUM(C519:C527)</f>
        <v>8.8989999999776614</v>
      </c>
      <c r="D529" s="311">
        <f t="shared" si="235"/>
        <v>52.282999997915923</v>
      </c>
      <c r="E529" s="311">
        <f t="shared" si="235"/>
        <v>123.31099999793713</v>
      </c>
      <c r="F529" s="311"/>
      <c r="G529" s="311">
        <f t="shared" ref="G529:J529" si="236">SUM(G519:G527)</f>
        <v>64.908000000333246</v>
      </c>
      <c r="H529" s="311">
        <f t="shared" si="236"/>
        <v>9.9710000000988117</v>
      </c>
      <c r="I529" s="311">
        <f t="shared" si="236"/>
        <v>45.238999998969319</v>
      </c>
      <c r="J529" s="311">
        <f t="shared" si="236"/>
        <v>120.11799999940138</v>
      </c>
      <c r="K529" s="311"/>
      <c r="L529" s="311">
        <f t="shared" ref="L529:O529" si="237">SUM(L519:L527)</f>
        <v>75.37000000099485</v>
      </c>
      <c r="M529" s="311">
        <f t="shared" si="237"/>
        <v>12.527999999949373</v>
      </c>
      <c r="N529" s="311">
        <f t="shared" si="237"/>
        <v>56.318999996968913</v>
      </c>
      <c r="O529" s="311">
        <f t="shared" si="237"/>
        <v>144.21699999791309</v>
      </c>
    </row>
    <row r="530" spans="1:15" s="236" customFormat="1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2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2">
      <c r="A533" s="241" t="str">
        <f>name!A34</f>
        <v>Motor vehicle trade</v>
      </c>
      <c r="B533" s="374">
        <f>$B$6</f>
        <v>2015</v>
      </c>
      <c r="C533" s="374"/>
      <c r="D533" s="374"/>
      <c r="E533" s="374"/>
      <c r="F533" s="263"/>
      <c r="G533" s="374">
        <f>$G$6</f>
        <v>2020</v>
      </c>
      <c r="H533" s="374"/>
      <c r="I533" s="374"/>
      <c r="J533" s="374"/>
      <c r="K533" s="263"/>
      <c r="L533" s="374">
        <f>$L$6</f>
        <v>2035</v>
      </c>
      <c r="M533" s="374"/>
      <c r="N533" s="374"/>
      <c r="O533" s="374"/>
    </row>
    <row r="534" spans="1:15" s="236" customFormat="1" x14ac:dyDescent="0.2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2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2">
      <c r="A536" s="237" t="str">
        <f>name!E$4</f>
        <v>Managers, directors and senior officials</v>
      </c>
      <c r="B536" s="302">
        <v>4.6304655984726564</v>
      </c>
      <c r="C536" s="302">
        <v>0.48332689866181139</v>
      </c>
      <c r="D536" s="302">
        <v>1.0896188352611376</v>
      </c>
      <c r="E536" s="302">
        <f>SUM(B536:D536)</f>
        <v>6.2034113323956053</v>
      </c>
      <c r="F536" s="303"/>
      <c r="G536" s="302">
        <v>4.9305706979097241</v>
      </c>
      <c r="H536" s="302">
        <v>0.63482291908815203</v>
      </c>
      <c r="I536" s="302">
        <v>1.2502010333683962</v>
      </c>
      <c r="J536" s="302">
        <f>SUM(G536:I536)</f>
        <v>6.8155946503662719</v>
      </c>
      <c r="K536" s="303"/>
      <c r="L536" s="302">
        <v>5.8140225554461828</v>
      </c>
      <c r="M536" s="302">
        <v>0.6499279718972506</v>
      </c>
      <c r="N536" s="302">
        <v>1.5063080854740876</v>
      </c>
      <c r="O536" s="302">
        <f>SUM(L536:N536)</f>
        <v>7.9702586128175206</v>
      </c>
    </row>
    <row r="537" spans="1:15" s="236" customFormat="1" x14ac:dyDescent="0.2">
      <c r="A537" s="237" t="str">
        <f>name!E$5</f>
        <v>Professional occupations</v>
      </c>
      <c r="B537" s="302">
        <v>2.326023193560975</v>
      </c>
      <c r="C537" s="302">
        <v>0.159704887384747</v>
      </c>
      <c r="D537" s="302">
        <v>0.16415740654148891</v>
      </c>
      <c r="E537" s="302">
        <f t="shared" ref="E537:E544" si="238">SUM(B537:D537)</f>
        <v>2.6498854874872109</v>
      </c>
      <c r="F537" s="303"/>
      <c r="G537" s="302">
        <v>2.857879705609069</v>
      </c>
      <c r="H537" s="302">
        <v>0.1996175750514263</v>
      </c>
      <c r="I537" s="302">
        <v>0.19900185131733014</v>
      </c>
      <c r="J537" s="302">
        <f t="shared" ref="J537:J539" si="239">SUM(G537:I537)</f>
        <v>3.2564991319778254</v>
      </c>
      <c r="K537" s="303"/>
      <c r="L537" s="302">
        <v>3.8415260808573057</v>
      </c>
      <c r="M537" s="302">
        <v>0.20697870857770689</v>
      </c>
      <c r="N537" s="302">
        <v>0.14675014181104815</v>
      </c>
      <c r="O537" s="302">
        <f t="shared" ref="O537:O544" si="240">SUM(L537:N537)</f>
        <v>4.195254931246061</v>
      </c>
    </row>
    <row r="538" spans="1:15" s="236" customFormat="1" x14ac:dyDescent="0.2">
      <c r="A538" s="237" t="str">
        <f>name!E$6</f>
        <v>Associate professional occupations</v>
      </c>
      <c r="B538" s="302">
        <v>3.4086776242574661</v>
      </c>
      <c r="C538" s="302">
        <v>0.32309908788387987</v>
      </c>
      <c r="D538" s="302">
        <v>0.16571104488018654</v>
      </c>
      <c r="E538" s="302">
        <f t="shared" si="238"/>
        <v>3.8974877570215325</v>
      </c>
      <c r="F538" s="303"/>
      <c r="G538" s="302">
        <v>3.6467458195411671</v>
      </c>
      <c r="H538" s="302">
        <v>0.33915072973981136</v>
      </c>
      <c r="I538" s="302">
        <v>0.19628479521222078</v>
      </c>
      <c r="J538" s="302">
        <f t="shared" si="239"/>
        <v>4.1821813444931992</v>
      </c>
      <c r="K538" s="303"/>
      <c r="L538" s="302">
        <v>3.944570932176533</v>
      </c>
      <c r="M538" s="302">
        <v>0.3042270080773577</v>
      </c>
      <c r="N538" s="302">
        <v>0.15999014751612589</v>
      </c>
      <c r="O538" s="302">
        <f t="shared" si="240"/>
        <v>4.4087880877700165</v>
      </c>
    </row>
    <row r="539" spans="1:15" s="236" customFormat="1" x14ac:dyDescent="0.2">
      <c r="A539" s="237" t="str">
        <f>name!E$7</f>
        <v>Administrative and secretarial occupations</v>
      </c>
      <c r="B539" s="302">
        <v>5.3584896237639006</v>
      </c>
      <c r="C539" s="302">
        <v>1.7965209415502552</v>
      </c>
      <c r="D539" s="302">
        <v>0.1712325195014196</v>
      </c>
      <c r="E539" s="302">
        <f t="shared" si="238"/>
        <v>7.3262430848155748</v>
      </c>
      <c r="F539" s="303"/>
      <c r="G539" s="302">
        <v>4.8848856268097522</v>
      </c>
      <c r="H539" s="302">
        <v>1.5442658296219876</v>
      </c>
      <c r="I539" s="302">
        <v>0.22086443924062027</v>
      </c>
      <c r="J539" s="302">
        <f t="shared" si="239"/>
        <v>6.6500158956723601</v>
      </c>
      <c r="K539" s="303"/>
      <c r="L539" s="302">
        <v>5.6907277937473593</v>
      </c>
      <c r="M539" s="302">
        <v>1.2256569108817494</v>
      </c>
      <c r="N539" s="302">
        <v>0.11411096422730636</v>
      </c>
      <c r="O539" s="302">
        <f t="shared" si="240"/>
        <v>7.0304956688564149</v>
      </c>
    </row>
    <row r="540" spans="1:15" s="236" customFormat="1" x14ac:dyDescent="0.2">
      <c r="A540" s="237" t="str">
        <f>name!E$8</f>
        <v>Skilled trades occupations</v>
      </c>
      <c r="B540" s="302">
        <v>22.573615664894746</v>
      </c>
      <c r="C540" s="302">
        <v>1.6045145272554686</v>
      </c>
      <c r="D540" s="302">
        <v>3.3480551195414092</v>
      </c>
      <c r="E540" s="302">
        <f t="shared" si="238"/>
        <v>27.526185311691624</v>
      </c>
      <c r="F540" s="303"/>
      <c r="G540" s="302">
        <v>17.366805173922145</v>
      </c>
      <c r="H540" s="302">
        <v>1.0334203359149465</v>
      </c>
      <c r="I540" s="302">
        <v>3.3487758146552653</v>
      </c>
      <c r="J540" s="302">
        <f>SUM(G540:I540)</f>
        <v>21.749001324492358</v>
      </c>
      <c r="K540" s="303"/>
      <c r="L540" s="302">
        <v>16.259857115417027</v>
      </c>
      <c r="M540" s="302">
        <v>1.1685411584200085</v>
      </c>
      <c r="N540" s="302">
        <v>3.4256706801658297</v>
      </c>
      <c r="O540" s="302">
        <f t="shared" si="240"/>
        <v>20.854068954002866</v>
      </c>
    </row>
    <row r="541" spans="1:15" s="236" customFormat="1" x14ac:dyDescent="0.2">
      <c r="A541" s="237" t="str">
        <f>name!E$9</f>
        <v>Caring, leisure and other service occupations</v>
      </c>
      <c r="B541" s="302">
        <v>1.1279593847701117</v>
      </c>
      <c r="C541" s="302">
        <v>7.0858188089076804E-2</v>
      </c>
      <c r="D541" s="302">
        <v>6.8082173502365326E-2</v>
      </c>
      <c r="E541" s="302">
        <f t="shared" si="238"/>
        <v>1.2668997463615539</v>
      </c>
      <c r="F541" s="303"/>
      <c r="G541" s="302">
        <v>1.0683247914139433</v>
      </c>
      <c r="H541" s="302">
        <v>5.3425337481015842E-2</v>
      </c>
      <c r="I541" s="302">
        <v>0.11243710674477427</v>
      </c>
      <c r="J541" s="302">
        <f t="shared" ref="J541:J544" si="241">SUM(G541:I541)</f>
        <v>1.2341872356397334</v>
      </c>
      <c r="K541" s="303"/>
      <c r="L541" s="302">
        <v>1.5660540818143787</v>
      </c>
      <c r="M541" s="302">
        <v>4.0394162846774377E-2</v>
      </c>
      <c r="N541" s="302">
        <v>0.12380582232437416</v>
      </c>
      <c r="O541" s="302">
        <f t="shared" si="240"/>
        <v>1.7302540669855271</v>
      </c>
    </row>
    <row r="542" spans="1:15" s="236" customFormat="1" x14ac:dyDescent="0.2">
      <c r="A542" s="237" t="str">
        <f>name!E$10</f>
        <v>Sales and customer service occupations</v>
      </c>
      <c r="B542" s="302">
        <v>5.8585703228297934</v>
      </c>
      <c r="C542" s="302">
        <v>3.513372318220755</v>
      </c>
      <c r="D542" s="302">
        <v>0.72897277055644683</v>
      </c>
      <c r="E542" s="302">
        <f t="shared" si="238"/>
        <v>10.100915411606994</v>
      </c>
      <c r="F542" s="303"/>
      <c r="G542" s="302">
        <v>4.9523588331876329</v>
      </c>
      <c r="H542" s="302">
        <v>2.8409377114000312</v>
      </c>
      <c r="I542" s="302">
        <v>0.66889222341710597</v>
      </c>
      <c r="J542" s="302">
        <f t="shared" si="241"/>
        <v>8.4621887680047703</v>
      </c>
      <c r="K542" s="303"/>
      <c r="L542" s="302">
        <v>4.9503219180323486</v>
      </c>
      <c r="M542" s="302">
        <v>2.6720028571258552</v>
      </c>
      <c r="N542" s="302">
        <v>0.5858394401324859</v>
      </c>
      <c r="O542" s="302">
        <f t="shared" si="240"/>
        <v>8.2081642152906884</v>
      </c>
    </row>
    <row r="543" spans="1:15" s="236" customFormat="1" x14ac:dyDescent="0.2">
      <c r="A543" s="237" t="str">
        <f>name!E$11</f>
        <v>Process, plant and machine operatives</v>
      </c>
      <c r="B543" s="302">
        <v>2.9939437975903864</v>
      </c>
      <c r="C543" s="302">
        <v>0.53039704200973237</v>
      </c>
      <c r="D543" s="302">
        <v>0.11482676268074211</v>
      </c>
      <c r="E543" s="302">
        <f t="shared" si="238"/>
        <v>3.6391676022808608</v>
      </c>
      <c r="F543" s="303"/>
      <c r="G543" s="302">
        <v>2.2335436179162933</v>
      </c>
      <c r="H543" s="302">
        <v>0.42994764075238961</v>
      </c>
      <c r="I543" s="302">
        <v>0.14227928481898136</v>
      </c>
      <c r="J543" s="302">
        <f t="shared" si="241"/>
        <v>2.8057705434876645</v>
      </c>
      <c r="K543" s="303"/>
      <c r="L543" s="302">
        <v>2.6251389208389857</v>
      </c>
      <c r="M543" s="302">
        <v>0.52292689075561749</v>
      </c>
      <c r="N543" s="302">
        <v>0.23660744074302978</v>
      </c>
      <c r="O543" s="302">
        <f t="shared" si="240"/>
        <v>3.3846732523376328</v>
      </c>
    </row>
    <row r="544" spans="1:15" s="236" customFormat="1" x14ac:dyDescent="0.2">
      <c r="A544" s="237" t="str">
        <f>name!E$12</f>
        <v>Elementary occupations</v>
      </c>
      <c r="B544" s="302">
        <v>1.6292547899121321</v>
      </c>
      <c r="C544" s="302">
        <v>1.0002061090489007</v>
      </c>
      <c r="D544" s="302">
        <v>0.60934336754023988</v>
      </c>
      <c r="E544" s="302">
        <f t="shared" si="238"/>
        <v>3.2388042665012726</v>
      </c>
      <c r="F544" s="303"/>
      <c r="G544" s="302">
        <v>1.2618857341122185</v>
      </c>
      <c r="H544" s="302">
        <v>0.66941192111972825</v>
      </c>
      <c r="I544" s="302">
        <v>0.62726345123282146</v>
      </c>
      <c r="J544" s="302">
        <f t="shared" si="241"/>
        <v>2.5585611064647682</v>
      </c>
      <c r="K544" s="303"/>
      <c r="L544" s="302">
        <v>1.1387806022388112</v>
      </c>
      <c r="M544" s="302">
        <v>0.46834433141398213</v>
      </c>
      <c r="N544" s="302">
        <v>0.76191727758207617</v>
      </c>
      <c r="O544" s="302">
        <f t="shared" si="240"/>
        <v>2.3690422112348695</v>
      </c>
    </row>
    <row r="545" spans="1:15" s="236" customFormat="1" x14ac:dyDescent="0.2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2">
      <c r="A546" s="244" t="s">
        <v>32</v>
      </c>
      <c r="B546" s="311">
        <f>SUM(B536:B544)</f>
        <v>49.907000000052172</v>
      </c>
      <c r="C546" s="311">
        <f t="shared" ref="C546:E546" si="242">SUM(C536:C544)</f>
        <v>9.4820000001046267</v>
      </c>
      <c r="D546" s="311">
        <f t="shared" si="242"/>
        <v>6.4600000000054365</v>
      </c>
      <c r="E546" s="311">
        <f t="shared" si="242"/>
        <v>65.849000000162235</v>
      </c>
      <c r="F546" s="311"/>
      <c r="G546" s="311">
        <f t="shared" ref="G546:J546" si="243">SUM(G536:G544)</f>
        <v>43.203000000421945</v>
      </c>
      <c r="H546" s="311">
        <f t="shared" si="243"/>
        <v>7.7450000001694876</v>
      </c>
      <c r="I546" s="311">
        <f t="shared" si="243"/>
        <v>6.7660000000075158</v>
      </c>
      <c r="J546" s="311">
        <f t="shared" si="243"/>
        <v>57.714000000598944</v>
      </c>
      <c r="K546" s="311"/>
      <c r="L546" s="311">
        <f t="shared" ref="L546:O546" si="244">SUM(L536:L544)</f>
        <v>45.831000000568935</v>
      </c>
      <c r="M546" s="311">
        <f t="shared" si="244"/>
        <v>7.258999999996302</v>
      </c>
      <c r="N546" s="311">
        <f t="shared" si="244"/>
        <v>7.0609999999763637</v>
      </c>
      <c r="O546" s="311">
        <f t="shared" si="244"/>
        <v>60.1510000005416</v>
      </c>
    </row>
    <row r="547" spans="1:15" s="236" customFormat="1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2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2">
      <c r="A550" s="241" t="str">
        <f>name!A35</f>
        <v>Wholesale trade</v>
      </c>
      <c r="B550" s="374">
        <f>$B$6</f>
        <v>2015</v>
      </c>
      <c r="C550" s="374"/>
      <c r="D550" s="374"/>
      <c r="E550" s="374"/>
      <c r="F550" s="263"/>
      <c r="G550" s="374">
        <f>$G$6</f>
        <v>2020</v>
      </c>
      <c r="H550" s="374"/>
      <c r="I550" s="374"/>
      <c r="J550" s="374"/>
      <c r="K550" s="263"/>
      <c r="L550" s="374">
        <f>$L$6</f>
        <v>2035</v>
      </c>
      <c r="M550" s="374"/>
      <c r="N550" s="374"/>
      <c r="O550" s="374"/>
    </row>
    <row r="551" spans="1:15" s="236" customFormat="1" x14ac:dyDescent="0.2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2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2">
      <c r="A553" s="237" t="str">
        <f>name!E$4</f>
        <v>Managers, directors and senior officials</v>
      </c>
      <c r="B553" s="302">
        <v>12.641673121768026</v>
      </c>
      <c r="C553" s="302">
        <v>1.0988553994408863</v>
      </c>
      <c r="D553" s="302">
        <v>1.9414539925999783</v>
      </c>
      <c r="E553" s="302">
        <f>SUM(B553:D553)</f>
        <v>15.68198251380889</v>
      </c>
      <c r="F553" s="303"/>
      <c r="G553" s="302">
        <v>14.523394211817301</v>
      </c>
      <c r="H553" s="302">
        <v>1.141061912018376</v>
      </c>
      <c r="I553" s="302">
        <v>2.7240004097490984</v>
      </c>
      <c r="J553" s="302">
        <f>SUM(G553:I553)</f>
        <v>18.388456533584776</v>
      </c>
      <c r="K553" s="303"/>
      <c r="L553" s="302">
        <v>14.823558503574782</v>
      </c>
      <c r="M553" s="302">
        <v>1.1189466934335961</v>
      </c>
      <c r="N553" s="302">
        <v>2.6657846993901093</v>
      </c>
      <c r="O553" s="302">
        <f>SUM(L553:N553)</f>
        <v>18.608289896398489</v>
      </c>
    </row>
    <row r="554" spans="1:15" s="236" customFormat="1" x14ac:dyDescent="0.2">
      <c r="A554" s="237" t="str">
        <f>name!E$5</f>
        <v>Professional occupations</v>
      </c>
      <c r="B554" s="302">
        <v>7.7727020764984349</v>
      </c>
      <c r="C554" s="302">
        <v>0.53612473608607214</v>
      </c>
      <c r="D554" s="302">
        <v>0.62180473984211537</v>
      </c>
      <c r="E554" s="302">
        <f t="shared" ref="E554:E561" si="245">SUM(B554:D554)</f>
        <v>8.9306315524266218</v>
      </c>
      <c r="F554" s="303"/>
      <c r="G554" s="302">
        <v>10.323235604008863</v>
      </c>
      <c r="H554" s="302">
        <v>0.52873613237699146</v>
      </c>
      <c r="I554" s="302">
        <v>0.75384447398599919</v>
      </c>
      <c r="J554" s="302">
        <f t="shared" ref="J554:J556" si="246">SUM(G554:I554)</f>
        <v>11.605816210371854</v>
      </c>
      <c r="K554" s="303"/>
      <c r="L554" s="302">
        <v>12.606604404340109</v>
      </c>
      <c r="M554" s="302">
        <v>0.5522744028306108</v>
      </c>
      <c r="N554" s="302">
        <v>0.60763712712422502</v>
      </c>
      <c r="O554" s="302">
        <f t="shared" ref="O554:O561" si="247">SUM(L554:N554)</f>
        <v>13.766515934294944</v>
      </c>
    </row>
    <row r="555" spans="1:15" s="236" customFormat="1" x14ac:dyDescent="0.2">
      <c r="A555" s="237" t="str">
        <f>name!E$6</f>
        <v>Associate professional occupations</v>
      </c>
      <c r="B555" s="302">
        <v>10.072365712208205</v>
      </c>
      <c r="C555" s="302">
        <v>1.2590920554369738</v>
      </c>
      <c r="D555" s="302">
        <v>0.79701490265434183</v>
      </c>
      <c r="E555" s="302">
        <f t="shared" si="245"/>
        <v>12.128472670299519</v>
      </c>
      <c r="F555" s="303"/>
      <c r="G555" s="302">
        <v>11.860998217555007</v>
      </c>
      <c r="H555" s="302">
        <v>1.0335212565714385</v>
      </c>
      <c r="I555" s="302">
        <v>0.85279823836202284</v>
      </c>
      <c r="J555" s="302">
        <f t="shared" si="246"/>
        <v>13.747317712488469</v>
      </c>
      <c r="K555" s="303"/>
      <c r="L555" s="302">
        <v>11.891414922704005</v>
      </c>
      <c r="M555" s="302">
        <v>0.94431306607985654</v>
      </c>
      <c r="N555" s="302">
        <v>0.62163943744319683</v>
      </c>
      <c r="O555" s="302">
        <f t="shared" si="247"/>
        <v>13.457367426227059</v>
      </c>
    </row>
    <row r="556" spans="1:15" s="236" customFormat="1" x14ac:dyDescent="0.2">
      <c r="A556" s="237" t="str">
        <f>name!E$7</f>
        <v>Administrative and secretarial occupations</v>
      </c>
      <c r="B556" s="302">
        <v>9.4922224865201485</v>
      </c>
      <c r="C556" s="302">
        <v>4.0223890257134922</v>
      </c>
      <c r="D556" s="302">
        <v>0.24621979665099841</v>
      </c>
      <c r="E556" s="302">
        <f t="shared" si="245"/>
        <v>13.760831308884638</v>
      </c>
      <c r="F556" s="303"/>
      <c r="G556" s="302">
        <v>10.354185984626955</v>
      </c>
      <c r="H556" s="302">
        <v>2.7163685051168431</v>
      </c>
      <c r="I556" s="302">
        <v>0.24277850485050989</v>
      </c>
      <c r="J556" s="302">
        <f t="shared" si="246"/>
        <v>13.313332994594308</v>
      </c>
      <c r="K556" s="303"/>
      <c r="L556" s="302">
        <v>9.7119384854385515</v>
      </c>
      <c r="M556" s="302">
        <v>2.1083840794706803</v>
      </c>
      <c r="N556" s="302">
        <v>0.19053906042613994</v>
      </c>
      <c r="O556" s="302">
        <f t="shared" si="247"/>
        <v>12.010861625335371</v>
      </c>
    </row>
    <row r="557" spans="1:15" s="236" customFormat="1" x14ac:dyDescent="0.2">
      <c r="A557" s="237" t="str">
        <f>name!E$8</f>
        <v>Skilled trades occupations</v>
      </c>
      <c r="B557" s="302">
        <v>6.0701610906175283</v>
      </c>
      <c r="C557" s="302">
        <v>0.42071487428641285</v>
      </c>
      <c r="D557" s="302">
        <v>0.98812315125288508</v>
      </c>
      <c r="E557" s="302">
        <f t="shared" si="245"/>
        <v>7.4789991161568254</v>
      </c>
      <c r="F557" s="303"/>
      <c r="G557" s="302">
        <v>4.8046967674137786</v>
      </c>
      <c r="H557" s="302">
        <v>0.2020417700536376</v>
      </c>
      <c r="I557" s="302">
        <v>1.0705861322352646</v>
      </c>
      <c r="J557" s="302">
        <f>SUM(G557:I557)</f>
        <v>6.0773246697026799</v>
      </c>
      <c r="K557" s="303"/>
      <c r="L557" s="302">
        <v>4.4413801801498831</v>
      </c>
      <c r="M557" s="302">
        <v>0.24229436731740692</v>
      </c>
      <c r="N557" s="302">
        <v>1.2238726862542479</v>
      </c>
      <c r="O557" s="302">
        <f t="shared" si="247"/>
        <v>5.9075472337215382</v>
      </c>
    </row>
    <row r="558" spans="1:15" s="236" customFormat="1" x14ac:dyDescent="0.2">
      <c r="A558" s="237" t="str">
        <f>name!E$9</f>
        <v>Caring, leisure and other service occupations</v>
      </c>
      <c r="B558" s="302">
        <v>0.21536627622354862</v>
      </c>
      <c r="C558" s="302">
        <v>0.12793147944861627</v>
      </c>
      <c r="D558" s="302">
        <v>5.78040241253025E-2</v>
      </c>
      <c r="E558" s="302">
        <f t="shared" si="245"/>
        <v>0.40110177979746742</v>
      </c>
      <c r="F558" s="303"/>
      <c r="G558" s="302">
        <v>0.23493635997881668</v>
      </c>
      <c r="H558" s="302">
        <v>7.1945866494071448E-2</v>
      </c>
      <c r="I558" s="302">
        <v>6.9770284980308753E-2</v>
      </c>
      <c r="J558" s="302">
        <f t="shared" ref="J558:J561" si="248">SUM(G558:I558)</f>
        <v>0.37665251145319684</v>
      </c>
      <c r="K558" s="303"/>
      <c r="L558" s="302">
        <v>0.28328882922260784</v>
      </c>
      <c r="M558" s="302">
        <v>4.9331397419033717E-2</v>
      </c>
      <c r="N558" s="302">
        <v>9.1136719810098646E-2</v>
      </c>
      <c r="O558" s="302">
        <f t="shared" si="247"/>
        <v>0.42375694645174017</v>
      </c>
    </row>
    <row r="559" spans="1:15" s="236" customFormat="1" x14ac:dyDescent="0.2">
      <c r="A559" s="237" t="str">
        <f>name!E$10</f>
        <v>Sales and customer service occupations</v>
      </c>
      <c r="B559" s="302">
        <v>5.9494399411823808</v>
      </c>
      <c r="C559" s="302">
        <v>3.2519453766449686</v>
      </c>
      <c r="D559" s="302">
        <v>0.53266181261735202</v>
      </c>
      <c r="E559" s="302">
        <f t="shared" si="245"/>
        <v>9.7340471304447007</v>
      </c>
      <c r="F559" s="303"/>
      <c r="G559" s="302">
        <v>5.699460642872384</v>
      </c>
      <c r="H559" s="302">
        <v>2.0432927098003066</v>
      </c>
      <c r="I559" s="302">
        <v>0.49072468690787435</v>
      </c>
      <c r="J559" s="302">
        <f t="shared" si="248"/>
        <v>8.2334780395805645</v>
      </c>
      <c r="K559" s="303"/>
      <c r="L559" s="302">
        <v>5.5291269499683962</v>
      </c>
      <c r="M559" s="302">
        <v>1.9004209264292102</v>
      </c>
      <c r="N559" s="302">
        <v>0.42509933787958931</v>
      </c>
      <c r="O559" s="302">
        <f t="shared" si="247"/>
        <v>7.8546472142771959</v>
      </c>
    </row>
    <row r="560" spans="1:15" s="236" customFormat="1" x14ac:dyDescent="0.2">
      <c r="A560" s="237" t="str">
        <f>name!E$11</f>
        <v>Process, plant and machine operatives</v>
      </c>
      <c r="B560" s="302">
        <v>12.065535240695331</v>
      </c>
      <c r="C560" s="302">
        <v>0.7520033486899047</v>
      </c>
      <c r="D560" s="302">
        <v>0.42565081898742907</v>
      </c>
      <c r="E560" s="302">
        <f t="shared" si="245"/>
        <v>13.243189408372665</v>
      </c>
      <c r="F560" s="303"/>
      <c r="G560" s="302">
        <v>9.8154906617677433</v>
      </c>
      <c r="H560" s="302">
        <v>0.46442451495507453</v>
      </c>
      <c r="I560" s="302">
        <v>0.51025228754274843</v>
      </c>
      <c r="J560" s="302">
        <f t="shared" si="248"/>
        <v>10.790167464265567</v>
      </c>
      <c r="K560" s="303"/>
      <c r="L560" s="302">
        <v>9.976309647876235</v>
      </c>
      <c r="M560" s="302">
        <v>0.69078732772465645</v>
      </c>
      <c r="N560" s="302">
        <v>0.79243722423120599</v>
      </c>
      <c r="O560" s="302">
        <f t="shared" si="247"/>
        <v>11.459534199832097</v>
      </c>
    </row>
    <row r="561" spans="1:15" s="236" customFormat="1" x14ac:dyDescent="0.2">
      <c r="A561" s="237" t="str">
        <f>name!E$12</f>
        <v>Elementary occupations</v>
      </c>
      <c r="B561" s="302">
        <v>8.3945340541082043</v>
      </c>
      <c r="C561" s="302">
        <v>2.6259437043135399</v>
      </c>
      <c r="D561" s="302">
        <v>1.0772667613797635</v>
      </c>
      <c r="E561" s="302">
        <f t="shared" si="245"/>
        <v>12.097744519801509</v>
      </c>
      <c r="F561" s="303"/>
      <c r="G561" s="302">
        <v>6.4406015504738479</v>
      </c>
      <c r="H561" s="302">
        <v>1.4586073328286084</v>
      </c>
      <c r="I561" s="302">
        <v>0.66324498145740574</v>
      </c>
      <c r="J561" s="302">
        <f t="shared" si="248"/>
        <v>8.5624538647598634</v>
      </c>
      <c r="K561" s="303"/>
      <c r="L561" s="302">
        <v>4.5763780770575684</v>
      </c>
      <c r="M561" s="302">
        <v>1.0882477392329519</v>
      </c>
      <c r="N561" s="302">
        <v>0.7798537075476617</v>
      </c>
      <c r="O561" s="302">
        <f t="shared" si="247"/>
        <v>6.444479523838182</v>
      </c>
    </row>
    <row r="562" spans="1:15" s="236" customFormat="1" x14ac:dyDescent="0.2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2">
      <c r="A563" s="244" t="s">
        <v>32</v>
      </c>
      <c r="B563" s="311">
        <f>SUM(B553:B561)</f>
        <v>72.673999999821817</v>
      </c>
      <c r="C563" s="311">
        <f t="shared" ref="C563:E563" si="249">SUM(C553:C561)</f>
        <v>14.095000000060866</v>
      </c>
      <c r="D563" s="311">
        <f t="shared" si="249"/>
        <v>6.6880000001101667</v>
      </c>
      <c r="E563" s="311">
        <f t="shared" si="249"/>
        <v>93.456999999992846</v>
      </c>
      <c r="F563" s="311"/>
      <c r="G563" s="311">
        <f t="shared" ref="G563:J563" si="250">SUM(G553:G561)</f>
        <v>74.057000000514691</v>
      </c>
      <c r="H563" s="311">
        <f t="shared" si="250"/>
        <v>9.6600000002153479</v>
      </c>
      <c r="I563" s="311">
        <f t="shared" si="250"/>
        <v>7.378000000071232</v>
      </c>
      <c r="J563" s="311">
        <f t="shared" si="250"/>
        <v>91.095000000801264</v>
      </c>
      <c r="K563" s="311"/>
      <c r="L563" s="311">
        <f t="shared" ref="L563:O563" si="251">SUM(L553:L561)</f>
        <v>73.84000000033214</v>
      </c>
      <c r="M563" s="311">
        <f t="shared" si="251"/>
        <v>8.6949999999380037</v>
      </c>
      <c r="N563" s="311">
        <f t="shared" si="251"/>
        <v>7.3980000001064745</v>
      </c>
      <c r="O563" s="311">
        <f t="shared" si="251"/>
        <v>89.933000000376609</v>
      </c>
    </row>
    <row r="564" spans="1:15" s="236" customFormat="1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2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2">
      <c r="A567" s="241" t="str">
        <f>name!A36</f>
        <v>Retail trade</v>
      </c>
      <c r="B567" s="374">
        <f>$B$6</f>
        <v>2015</v>
      </c>
      <c r="C567" s="374"/>
      <c r="D567" s="374"/>
      <c r="E567" s="374"/>
      <c r="F567" s="263"/>
      <c r="G567" s="374">
        <f>$G$6</f>
        <v>2020</v>
      </c>
      <c r="H567" s="374"/>
      <c r="I567" s="374"/>
      <c r="J567" s="374"/>
      <c r="K567" s="263"/>
      <c r="L567" s="374">
        <f>$L$6</f>
        <v>2035</v>
      </c>
      <c r="M567" s="374"/>
      <c r="N567" s="374"/>
      <c r="O567" s="374"/>
    </row>
    <row r="568" spans="1:15" s="236" customFormat="1" x14ac:dyDescent="0.2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2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2">
      <c r="A570" s="237" t="str">
        <f>name!E$4</f>
        <v>Managers, directors and senior officials</v>
      </c>
      <c r="B570" s="302">
        <v>15.221303411504055</v>
      </c>
      <c r="C570" s="302">
        <v>2.3969555526413524</v>
      </c>
      <c r="D570" s="302">
        <v>10.428838750331202</v>
      </c>
      <c r="E570" s="302">
        <f>SUM(B570:D570)</f>
        <v>28.04709771447661</v>
      </c>
      <c r="F570" s="303"/>
      <c r="G570" s="302">
        <v>20.256713058899592</v>
      </c>
      <c r="H570" s="302">
        <v>3.9420386790485136</v>
      </c>
      <c r="I570" s="302">
        <v>14.417357225601616</v>
      </c>
      <c r="J570" s="302">
        <f>SUM(G570:I570)</f>
        <v>38.616108963549721</v>
      </c>
      <c r="K570" s="303"/>
      <c r="L570" s="302">
        <v>25.710962927365973</v>
      </c>
      <c r="M570" s="302">
        <v>4.5131115264758082</v>
      </c>
      <c r="N570" s="302">
        <v>13.332135435755102</v>
      </c>
      <c r="O570" s="302">
        <f>SUM(L570:N570)</f>
        <v>43.556209889596886</v>
      </c>
    </row>
    <row r="571" spans="1:15" s="236" customFormat="1" x14ac:dyDescent="0.2">
      <c r="A571" s="237" t="str">
        <f>name!E$5</f>
        <v>Professional occupations</v>
      </c>
      <c r="B571" s="302">
        <v>10.826365526469694</v>
      </c>
      <c r="C571" s="302">
        <v>5.4689206073135068</v>
      </c>
      <c r="D571" s="302">
        <v>1.1726752505901241</v>
      </c>
      <c r="E571" s="302">
        <f t="shared" ref="E571:E578" si="252">SUM(B571:D571)</f>
        <v>17.467961384373325</v>
      </c>
      <c r="F571" s="303"/>
      <c r="G571" s="302">
        <v>16.476229960906313</v>
      </c>
      <c r="H571" s="302">
        <v>7.5828367868578113</v>
      </c>
      <c r="I571" s="302">
        <v>1.581852511426417</v>
      </c>
      <c r="J571" s="302">
        <f t="shared" ref="J571:J573" si="253">SUM(G571:I571)</f>
        <v>25.640919259190539</v>
      </c>
      <c r="K571" s="303"/>
      <c r="L571" s="302">
        <v>23.318660642688538</v>
      </c>
      <c r="M571" s="302">
        <v>9.5130500933309712</v>
      </c>
      <c r="N571" s="302">
        <v>0.96195871572210734</v>
      </c>
      <c r="O571" s="302">
        <f t="shared" ref="O571:O578" si="254">SUM(L571:N571)</f>
        <v>33.793669451741614</v>
      </c>
    </row>
    <row r="572" spans="1:15" s="236" customFormat="1" x14ac:dyDescent="0.2">
      <c r="A572" s="237" t="str">
        <f>name!E$6</f>
        <v>Associate professional occupations</v>
      </c>
      <c r="B572" s="302">
        <v>9.811915492163612</v>
      </c>
      <c r="C572" s="302">
        <v>4.8360453377113677</v>
      </c>
      <c r="D572" s="302">
        <v>0.89499206456809022</v>
      </c>
      <c r="E572" s="302">
        <f t="shared" si="252"/>
        <v>15.542952894443069</v>
      </c>
      <c r="F572" s="303"/>
      <c r="G572" s="302">
        <v>13.674687251606358</v>
      </c>
      <c r="H572" s="302">
        <v>5.8020948087783326</v>
      </c>
      <c r="I572" s="302">
        <v>1.016063939960332</v>
      </c>
      <c r="J572" s="302">
        <f t="shared" si="253"/>
        <v>20.492846000345022</v>
      </c>
      <c r="K572" s="303"/>
      <c r="L572" s="302">
        <v>16.326765329337828</v>
      </c>
      <c r="M572" s="302">
        <v>5.480579459780758</v>
      </c>
      <c r="N572" s="302">
        <v>0.64878802848046757</v>
      </c>
      <c r="O572" s="302">
        <f t="shared" si="254"/>
        <v>22.456132817599055</v>
      </c>
    </row>
    <row r="573" spans="1:15" s="236" customFormat="1" x14ac:dyDescent="0.2">
      <c r="A573" s="237" t="str">
        <f>name!E$7</f>
        <v>Administrative and secretarial occupations</v>
      </c>
      <c r="B573" s="302">
        <v>8.7509856093236316</v>
      </c>
      <c r="C573" s="302">
        <v>6.8112545691152029</v>
      </c>
      <c r="D573" s="302">
        <v>0.33982979851781636</v>
      </c>
      <c r="E573" s="302">
        <f t="shared" si="252"/>
        <v>15.902069976956652</v>
      </c>
      <c r="F573" s="303"/>
      <c r="G573" s="302">
        <v>10.907398114687679</v>
      </c>
      <c r="H573" s="302">
        <v>7.5051559367808354</v>
      </c>
      <c r="I573" s="302">
        <v>0.42805384791292017</v>
      </c>
      <c r="J573" s="302">
        <f t="shared" si="253"/>
        <v>18.840607899381435</v>
      </c>
      <c r="K573" s="303"/>
      <c r="L573" s="302">
        <v>12.19259020452631</v>
      </c>
      <c r="M573" s="302">
        <v>7.1514390640438181</v>
      </c>
      <c r="N573" s="302">
        <v>6.6798509313821466</v>
      </c>
      <c r="O573" s="302">
        <f t="shared" si="254"/>
        <v>26.023880199952274</v>
      </c>
    </row>
    <row r="574" spans="1:15" s="236" customFormat="1" x14ac:dyDescent="0.2">
      <c r="A574" s="237" t="str">
        <f>name!E$8</f>
        <v>Skilled trades occupations</v>
      </c>
      <c r="B574" s="302">
        <v>6.3177250142616179</v>
      </c>
      <c r="C574" s="302">
        <v>2.7343281789317673</v>
      </c>
      <c r="D574" s="302">
        <v>3.8715009657267845</v>
      </c>
      <c r="E574" s="302">
        <f t="shared" si="252"/>
        <v>12.923554158920171</v>
      </c>
      <c r="F574" s="303"/>
      <c r="G574" s="302">
        <v>5.5564154193684887</v>
      </c>
      <c r="H574" s="302">
        <v>2.0472547988919385</v>
      </c>
      <c r="I574" s="302">
        <v>4.6717944772195334</v>
      </c>
      <c r="J574" s="302">
        <f>SUM(G574:I574)</f>
        <v>12.275464695479961</v>
      </c>
      <c r="K574" s="303"/>
      <c r="L574" s="302">
        <v>5.9529420349698752</v>
      </c>
      <c r="M574" s="302">
        <v>1.9269472572869095</v>
      </c>
      <c r="N574" s="302">
        <v>3.9484005886400118</v>
      </c>
      <c r="O574" s="302">
        <f t="shared" si="254"/>
        <v>11.828289880896797</v>
      </c>
    </row>
    <row r="575" spans="1:15" s="236" customFormat="1" x14ac:dyDescent="0.2">
      <c r="A575" s="237" t="str">
        <f>name!E$9</f>
        <v>Caring, leisure and other service occupations</v>
      </c>
      <c r="B575" s="302">
        <v>0.64139693009387666</v>
      </c>
      <c r="C575" s="302">
        <v>0.60104336672142133</v>
      </c>
      <c r="D575" s="302">
        <v>0.47637626063413607</v>
      </c>
      <c r="E575" s="302">
        <f t="shared" si="252"/>
        <v>1.7188165574494341</v>
      </c>
      <c r="F575" s="303"/>
      <c r="G575" s="302">
        <v>0.73715896822919535</v>
      </c>
      <c r="H575" s="302">
        <v>0.54081682279730536</v>
      </c>
      <c r="I575" s="302">
        <v>0.69745248680471716</v>
      </c>
      <c r="J575" s="302">
        <f t="shared" ref="J575:J578" si="255">SUM(G575:I575)</f>
        <v>1.975428277831218</v>
      </c>
      <c r="K575" s="303"/>
      <c r="L575" s="302">
        <v>1.0332646151660108</v>
      </c>
      <c r="M575" s="302">
        <v>0.46617767196259041</v>
      </c>
      <c r="N575" s="302">
        <v>0.80790040428717047</v>
      </c>
      <c r="O575" s="302">
        <f t="shared" si="254"/>
        <v>2.3073426914157715</v>
      </c>
    </row>
    <row r="576" spans="1:15" s="236" customFormat="1" x14ac:dyDescent="0.2">
      <c r="A576" s="237" t="str">
        <f>name!E$10</f>
        <v>Sales and customer service occupations</v>
      </c>
      <c r="B576" s="302">
        <v>32.387783866981458</v>
      </c>
      <c r="C576" s="302">
        <v>106.26525712501761</v>
      </c>
      <c r="D576" s="302">
        <v>4.3952842200527673</v>
      </c>
      <c r="E576" s="302">
        <f t="shared" si="252"/>
        <v>143.04832521205182</v>
      </c>
      <c r="F576" s="303"/>
      <c r="G576" s="302">
        <v>33.717312077981845</v>
      </c>
      <c r="H576" s="302">
        <v>100.62287097795139</v>
      </c>
      <c r="I576" s="302">
        <v>4.1694334242139552</v>
      </c>
      <c r="J576" s="302">
        <f t="shared" si="255"/>
        <v>138.5096164801472</v>
      </c>
      <c r="K576" s="303"/>
      <c r="L576" s="302">
        <v>26.074032609107078</v>
      </c>
      <c r="M576" s="302">
        <v>91.518654459126651</v>
      </c>
      <c r="N576" s="302">
        <v>2.6932086219311007</v>
      </c>
      <c r="O576" s="302">
        <f t="shared" si="254"/>
        <v>120.28589569016484</v>
      </c>
    </row>
    <row r="577" spans="1:15" s="236" customFormat="1" x14ac:dyDescent="0.2">
      <c r="A577" s="237" t="str">
        <f>name!E$11</f>
        <v>Process, plant and machine operatives</v>
      </c>
      <c r="B577" s="302">
        <v>4.3114529959214574</v>
      </c>
      <c r="C577" s="302">
        <v>2.5604145625176193</v>
      </c>
      <c r="D577" s="302">
        <v>7.8924422204049965E-2</v>
      </c>
      <c r="E577" s="302">
        <f t="shared" si="252"/>
        <v>6.9507919806431264</v>
      </c>
      <c r="F577" s="303"/>
      <c r="G577" s="302">
        <v>3.9549907059349985</v>
      </c>
      <c r="H577" s="302">
        <v>2.5964203019617718</v>
      </c>
      <c r="I577" s="302">
        <v>0.10318488104521438</v>
      </c>
      <c r="J577" s="302">
        <f t="shared" si="255"/>
        <v>6.6545958889419845</v>
      </c>
      <c r="K577" s="303"/>
      <c r="L577" s="302">
        <v>4.3267169751158141</v>
      </c>
      <c r="M577" s="302">
        <v>3.5914854619189089</v>
      </c>
      <c r="N577" s="302">
        <v>0.13620510320876775</v>
      </c>
      <c r="O577" s="302">
        <f t="shared" si="254"/>
        <v>8.0544075402434903</v>
      </c>
    </row>
    <row r="578" spans="1:15" s="236" customFormat="1" x14ac:dyDescent="0.2">
      <c r="A578" s="237" t="str">
        <f>name!E$12</f>
        <v>Elementary occupations</v>
      </c>
      <c r="B578" s="302">
        <v>11.372071152476561</v>
      </c>
      <c r="C578" s="302">
        <v>14.478780703246668</v>
      </c>
      <c r="D578" s="302">
        <v>0.13157826771562056</v>
      </c>
      <c r="E578" s="302">
        <f t="shared" si="252"/>
        <v>25.982430123438849</v>
      </c>
      <c r="F578" s="303"/>
      <c r="G578" s="302">
        <v>11.065094442993809</v>
      </c>
      <c r="H578" s="302">
        <v>11.824510892507332</v>
      </c>
      <c r="I578" s="302">
        <v>0.14480720574624451</v>
      </c>
      <c r="J578" s="302">
        <f t="shared" si="255"/>
        <v>23.034412541247384</v>
      </c>
      <c r="K578" s="303"/>
      <c r="L578" s="302">
        <v>11.805064661477726</v>
      </c>
      <c r="M578" s="302">
        <v>9.1645550051628248</v>
      </c>
      <c r="N578" s="302">
        <v>0.14355217195688438</v>
      </c>
      <c r="O578" s="302">
        <f t="shared" si="254"/>
        <v>21.113171838597435</v>
      </c>
    </row>
    <row r="579" spans="1:15" s="236" customFormat="1" x14ac:dyDescent="0.2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2">
      <c r="A580" s="244" t="s">
        <v>32</v>
      </c>
      <c r="B580" s="311">
        <f>SUM(B570:B578)</f>
        <v>99.640999999195969</v>
      </c>
      <c r="C580" s="311">
        <f t="shared" ref="C580:E580" si="256">SUM(C570:C578)</f>
        <v>146.1530000032165</v>
      </c>
      <c r="D580" s="311">
        <f t="shared" si="256"/>
        <v>21.790000000340591</v>
      </c>
      <c r="E580" s="311">
        <f t="shared" si="256"/>
        <v>267.58400000275304</v>
      </c>
      <c r="F580" s="311"/>
      <c r="G580" s="311">
        <f t="shared" ref="G580:J580" si="257">SUM(G570:G578)</f>
        <v>116.34600000060829</v>
      </c>
      <c r="H580" s="311">
        <f t="shared" si="257"/>
        <v>142.46400000557526</v>
      </c>
      <c r="I580" s="311">
        <f t="shared" si="257"/>
        <v>27.229999999930953</v>
      </c>
      <c r="J580" s="311">
        <f t="shared" si="257"/>
        <v>286.04000000611444</v>
      </c>
      <c r="K580" s="311"/>
      <c r="L580" s="311">
        <f t="shared" ref="L580:O580" si="258">SUM(L570:L578)</f>
        <v>126.74099999975516</v>
      </c>
      <c r="M580" s="311">
        <f t="shared" si="258"/>
        <v>133.32599999908922</v>
      </c>
      <c r="N580" s="311">
        <f t="shared" si="258"/>
        <v>29.352000001363756</v>
      </c>
      <c r="O580" s="311">
        <f t="shared" si="258"/>
        <v>289.4190000002082</v>
      </c>
    </row>
    <row r="581" spans="1:15" s="236" customFormat="1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2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2">
      <c r="A584" s="241" t="str">
        <f>name!A37</f>
        <v>Land transport, etc</v>
      </c>
      <c r="B584" s="374">
        <f>$B$6</f>
        <v>2015</v>
      </c>
      <c r="C584" s="374"/>
      <c r="D584" s="374"/>
      <c r="E584" s="374"/>
      <c r="F584" s="263"/>
      <c r="G584" s="374">
        <f>$G$6</f>
        <v>2020</v>
      </c>
      <c r="H584" s="374"/>
      <c r="I584" s="374"/>
      <c r="J584" s="374"/>
      <c r="K584" s="263"/>
      <c r="L584" s="374">
        <f>$L$6</f>
        <v>2035</v>
      </c>
      <c r="M584" s="374"/>
      <c r="N584" s="374"/>
      <c r="O584" s="374"/>
    </row>
    <row r="585" spans="1:15" s="236" customFormat="1" x14ac:dyDescent="0.2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2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2">
      <c r="A587" s="237" t="str">
        <f>name!E$4</f>
        <v>Managers, directors and senior officials</v>
      </c>
      <c r="B587" s="302">
        <v>2.4245481410214342</v>
      </c>
      <c r="C587" s="302">
        <v>0.11346111440239652</v>
      </c>
      <c r="D587" s="302">
        <v>0.79415153702470787</v>
      </c>
      <c r="E587" s="302">
        <f>SUM(B587:D587)</f>
        <v>3.3321607924485388</v>
      </c>
      <c r="F587" s="303"/>
      <c r="G587" s="302">
        <v>2.9196497551974958</v>
      </c>
      <c r="H587" s="302">
        <v>0.17274139968405092</v>
      </c>
      <c r="I587" s="302">
        <v>0.73132273687188354</v>
      </c>
      <c r="J587" s="302">
        <f>SUM(G587:I587)</f>
        <v>3.8237138917534303</v>
      </c>
      <c r="K587" s="303"/>
      <c r="L587" s="302">
        <v>3.1255812821801179</v>
      </c>
      <c r="M587" s="302">
        <v>0.18889595666711251</v>
      </c>
      <c r="N587" s="302">
        <v>0.8799135580518882</v>
      </c>
      <c r="O587" s="302">
        <f>SUM(L587:N587)</f>
        <v>4.1943907968991185</v>
      </c>
    </row>
    <row r="588" spans="1:15" s="236" customFormat="1" x14ac:dyDescent="0.2">
      <c r="A588" s="237" t="str">
        <f>name!E$5</f>
        <v>Professional occupations</v>
      </c>
      <c r="B588" s="302">
        <v>1.8447835060890252</v>
      </c>
      <c r="C588" s="302">
        <v>9.3363412836948725E-2</v>
      </c>
      <c r="D588" s="302">
        <v>0.22119452004854928</v>
      </c>
      <c r="E588" s="302">
        <f t="shared" ref="E588:E595" si="259">SUM(B588:D588)</f>
        <v>2.1593414389745234</v>
      </c>
      <c r="F588" s="303"/>
      <c r="G588" s="302">
        <v>2.520476430124583</v>
      </c>
      <c r="H588" s="302">
        <v>0.14120816526172189</v>
      </c>
      <c r="I588" s="302">
        <v>0.18541859358078458</v>
      </c>
      <c r="J588" s="302">
        <f t="shared" ref="J588:J590" si="260">SUM(G588:I588)</f>
        <v>2.8471031889670892</v>
      </c>
      <c r="K588" s="303"/>
      <c r="L588" s="302">
        <v>2.9373346127106461</v>
      </c>
      <c r="M588" s="302">
        <v>0.17559504721793365</v>
      </c>
      <c r="N588" s="302">
        <v>0.17166426494088585</v>
      </c>
      <c r="O588" s="302">
        <f t="shared" ref="O588:O595" si="261">SUM(L588:N588)</f>
        <v>3.2845939248694656</v>
      </c>
    </row>
    <row r="589" spans="1:15" s="236" customFormat="1" x14ac:dyDescent="0.2">
      <c r="A589" s="237" t="str">
        <f>name!E$6</f>
        <v>Associate professional occupations</v>
      </c>
      <c r="B589" s="302">
        <v>2.3140039894093376</v>
      </c>
      <c r="C589" s="302">
        <v>0.14699913058576322</v>
      </c>
      <c r="D589" s="302">
        <v>0.12892492735386826</v>
      </c>
      <c r="E589" s="302">
        <f t="shared" si="259"/>
        <v>2.5899280473489692</v>
      </c>
      <c r="F589" s="303"/>
      <c r="G589" s="302">
        <v>2.8153071520375246</v>
      </c>
      <c r="H589" s="302">
        <v>0.19211700011875235</v>
      </c>
      <c r="I589" s="302">
        <v>0.10099782987666743</v>
      </c>
      <c r="J589" s="302">
        <f t="shared" si="260"/>
        <v>3.1084219820329442</v>
      </c>
      <c r="K589" s="303"/>
      <c r="L589" s="302">
        <v>2.4920719481564766</v>
      </c>
      <c r="M589" s="302">
        <v>0.18365516926359743</v>
      </c>
      <c r="N589" s="302">
        <v>9.0463724970355971E-2</v>
      </c>
      <c r="O589" s="302">
        <f t="shared" si="261"/>
        <v>2.7661908423904298</v>
      </c>
    </row>
    <row r="590" spans="1:15" s="236" customFormat="1" x14ac:dyDescent="0.2">
      <c r="A590" s="237" t="str">
        <f>name!E$7</f>
        <v>Administrative and secretarial occupations</v>
      </c>
      <c r="B590" s="302">
        <v>3.9590751082511688</v>
      </c>
      <c r="C590" s="302">
        <v>1.0109803971952718</v>
      </c>
      <c r="D590" s="302">
        <v>0.27405032322851863</v>
      </c>
      <c r="E590" s="302">
        <f t="shared" si="259"/>
        <v>5.2441058286749591</v>
      </c>
      <c r="F590" s="303"/>
      <c r="G590" s="302">
        <v>4.5668672735019724</v>
      </c>
      <c r="H590" s="302">
        <v>1.1263747443118755</v>
      </c>
      <c r="I590" s="302">
        <v>0.22174009750771309</v>
      </c>
      <c r="J590" s="302">
        <f t="shared" si="260"/>
        <v>5.9149821153215614</v>
      </c>
      <c r="K590" s="303"/>
      <c r="L590" s="302">
        <v>4.4992095295866692</v>
      </c>
      <c r="M590" s="302">
        <v>0.87960176662894562</v>
      </c>
      <c r="N590" s="302">
        <v>0.14829482930896307</v>
      </c>
      <c r="O590" s="302">
        <f t="shared" si="261"/>
        <v>5.5271061255245773</v>
      </c>
    </row>
    <row r="591" spans="1:15" s="236" customFormat="1" x14ac:dyDescent="0.2">
      <c r="A591" s="237" t="str">
        <f>name!E$8</f>
        <v>Skilled trades occupations</v>
      </c>
      <c r="B591" s="302">
        <v>3.6033900351927382</v>
      </c>
      <c r="C591" s="302">
        <v>0.15816224320977476</v>
      </c>
      <c r="D591" s="302">
        <v>1.3022958674245744</v>
      </c>
      <c r="E591" s="302">
        <f t="shared" si="259"/>
        <v>5.0638481458270874</v>
      </c>
      <c r="F591" s="303"/>
      <c r="G591" s="302">
        <v>3.0019855980488552</v>
      </c>
      <c r="H591" s="302">
        <v>8.3900525920966543E-2</v>
      </c>
      <c r="I591" s="302">
        <v>0.787478027812615</v>
      </c>
      <c r="J591" s="302">
        <f>SUM(G591:I591)</f>
        <v>3.8733641517824369</v>
      </c>
      <c r="K591" s="303"/>
      <c r="L591" s="302">
        <v>2.2810437511411448</v>
      </c>
      <c r="M591" s="302">
        <v>0.10422939227407946</v>
      </c>
      <c r="N591" s="302">
        <v>0.79804849020146074</v>
      </c>
      <c r="O591" s="302">
        <f t="shared" si="261"/>
        <v>3.1833216336166852</v>
      </c>
    </row>
    <row r="592" spans="1:15" s="236" customFormat="1" x14ac:dyDescent="0.2">
      <c r="A592" s="237" t="str">
        <f>name!E$9</f>
        <v>Caring, leisure and other service occupations</v>
      </c>
      <c r="B592" s="302">
        <v>0.83654298535633098</v>
      </c>
      <c r="C592" s="302">
        <v>0.57030516169069101</v>
      </c>
      <c r="D592" s="302">
        <v>0.11210283652543583</v>
      </c>
      <c r="E592" s="302">
        <f t="shared" si="259"/>
        <v>1.5189509835724577</v>
      </c>
      <c r="F592" s="303"/>
      <c r="G592" s="302">
        <v>0.85122835588173273</v>
      </c>
      <c r="H592" s="302">
        <v>0.56778631659276579</v>
      </c>
      <c r="I592" s="302">
        <v>0.10585514120516566</v>
      </c>
      <c r="J592" s="302">
        <f t="shared" ref="J592:J595" si="262">SUM(G592:I592)</f>
        <v>1.5248698136796641</v>
      </c>
      <c r="K592" s="303"/>
      <c r="L592" s="302">
        <v>0.80105536703113123</v>
      </c>
      <c r="M592" s="302">
        <v>0.54217801834622348</v>
      </c>
      <c r="N592" s="302">
        <v>0.13802508792578624</v>
      </c>
      <c r="O592" s="302">
        <f t="shared" si="261"/>
        <v>1.4812584733031409</v>
      </c>
    </row>
    <row r="593" spans="1:15" s="236" customFormat="1" x14ac:dyDescent="0.2">
      <c r="A593" s="237" t="str">
        <f>name!E$10</f>
        <v>Sales and customer service occupations</v>
      </c>
      <c r="B593" s="302">
        <v>0.57122789636093041</v>
      </c>
      <c r="C593" s="302">
        <v>0.14091414424048049</v>
      </c>
      <c r="D593" s="302">
        <v>0.15355160695118547</v>
      </c>
      <c r="E593" s="302">
        <f t="shared" si="259"/>
        <v>0.86569364755259648</v>
      </c>
      <c r="F593" s="303"/>
      <c r="G593" s="302">
        <v>0.62017282575882826</v>
      </c>
      <c r="H593" s="302">
        <v>0.16451366751174476</v>
      </c>
      <c r="I593" s="302">
        <v>0.10819988934842434</v>
      </c>
      <c r="J593" s="302">
        <f t="shared" si="262"/>
        <v>0.89288638261899744</v>
      </c>
      <c r="K593" s="303"/>
      <c r="L593" s="302">
        <v>0.70843931552108541</v>
      </c>
      <c r="M593" s="302">
        <v>0.2079015286819767</v>
      </c>
      <c r="N593" s="302">
        <v>0.10943281895125069</v>
      </c>
      <c r="O593" s="302">
        <f t="shared" si="261"/>
        <v>1.0257736631543128</v>
      </c>
    </row>
    <row r="594" spans="1:15" s="236" customFormat="1" x14ac:dyDescent="0.2">
      <c r="A594" s="237" t="str">
        <f>name!E$11</f>
        <v>Process, plant and machine operatives</v>
      </c>
      <c r="B594" s="302">
        <v>16.991255908538751</v>
      </c>
      <c r="C594" s="302">
        <v>2.8042943968122342</v>
      </c>
      <c r="D594" s="302">
        <v>6.3317606987513457</v>
      </c>
      <c r="E594" s="302">
        <f t="shared" si="259"/>
        <v>26.127311004102332</v>
      </c>
      <c r="F594" s="303"/>
      <c r="G594" s="302">
        <v>15.0010370689442</v>
      </c>
      <c r="H594" s="302">
        <v>2.4166465550606784</v>
      </c>
      <c r="I594" s="302">
        <v>6.5592967730734628</v>
      </c>
      <c r="J594" s="302">
        <f t="shared" si="262"/>
        <v>23.976980397078343</v>
      </c>
      <c r="K594" s="303"/>
      <c r="L594" s="302">
        <v>14.271633562543833</v>
      </c>
      <c r="M594" s="302">
        <v>2.982767928893121</v>
      </c>
      <c r="N594" s="302">
        <v>7.1808061915672434</v>
      </c>
      <c r="O594" s="302">
        <f t="shared" si="261"/>
        <v>24.435207683004197</v>
      </c>
    </row>
    <row r="595" spans="1:15" s="236" customFormat="1" x14ac:dyDescent="0.2">
      <c r="A595" s="237" t="str">
        <f>name!E$12</f>
        <v>Elementary occupations</v>
      </c>
      <c r="B595" s="302">
        <v>1.9231724298363626</v>
      </c>
      <c r="C595" s="302">
        <v>0.56851999905074557</v>
      </c>
      <c r="D595" s="302">
        <v>0.25496768272714837</v>
      </c>
      <c r="E595" s="302">
        <f t="shared" si="259"/>
        <v>2.7466601116142564</v>
      </c>
      <c r="F595" s="303"/>
      <c r="G595" s="302">
        <v>1.5872755408333861</v>
      </c>
      <c r="H595" s="302">
        <v>0.43471162563969723</v>
      </c>
      <c r="I595" s="302">
        <v>0.15769091099881474</v>
      </c>
      <c r="J595" s="302">
        <f t="shared" si="262"/>
        <v>2.1796780774718982</v>
      </c>
      <c r="K595" s="303"/>
      <c r="L595" s="302">
        <v>1.0896306315909332</v>
      </c>
      <c r="M595" s="302">
        <v>0.39517519203700729</v>
      </c>
      <c r="N595" s="302">
        <v>0.2033510346755566</v>
      </c>
      <c r="O595" s="302">
        <f t="shared" si="261"/>
        <v>1.6881568583034969</v>
      </c>
    </row>
    <row r="596" spans="1:15" s="236" customFormat="1" x14ac:dyDescent="0.2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2">
      <c r="A597" s="244" t="s">
        <v>32</v>
      </c>
      <c r="B597" s="311">
        <f>SUM(B587:B595)</f>
        <v>34.46800000005608</v>
      </c>
      <c r="C597" s="311">
        <f t="shared" ref="C597:E597" si="263">SUM(C587:C595)</f>
        <v>5.6070000000243061</v>
      </c>
      <c r="D597" s="311">
        <f t="shared" si="263"/>
        <v>9.5730000000353339</v>
      </c>
      <c r="E597" s="311">
        <f t="shared" si="263"/>
        <v>49.648000000115722</v>
      </c>
      <c r="F597" s="311"/>
      <c r="G597" s="311">
        <f t="shared" ref="G597:J597" si="264">SUM(G587:G595)</f>
        <v>33.884000000328584</v>
      </c>
      <c r="H597" s="311">
        <f t="shared" si="264"/>
        <v>5.300000000102254</v>
      </c>
      <c r="I597" s="311">
        <f t="shared" si="264"/>
        <v>8.9580000002755309</v>
      </c>
      <c r="J597" s="311">
        <f t="shared" si="264"/>
        <v>48.142000000706368</v>
      </c>
      <c r="K597" s="311"/>
      <c r="L597" s="311">
        <f t="shared" ref="L597:O597" si="265">SUM(L587:L595)</f>
        <v>32.206000000462041</v>
      </c>
      <c r="M597" s="311">
        <f t="shared" si="265"/>
        <v>5.6600000000099975</v>
      </c>
      <c r="N597" s="311">
        <f t="shared" si="265"/>
        <v>9.7200000005933909</v>
      </c>
      <c r="O597" s="311">
        <f t="shared" si="265"/>
        <v>47.586000001065429</v>
      </c>
    </row>
    <row r="598" spans="1:15" s="236" customFormat="1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2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2">
      <c r="A601" s="241" t="str">
        <f>name!A38</f>
        <v>Water transport</v>
      </c>
      <c r="B601" s="374">
        <f>$B$6</f>
        <v>2015</v>
      </c>
      <c r="C601" s="374"/>
      <c r="D601" s="374"/>
      <c r="E601" s="374"/>
      <c r="F601" s="263"/>
      <c r="G601" s="374">
        <f>$G$6</f>
        <v>2020</v>
      </c>
      <c r="H601" s="374"/>
      <c r="I601" s="374"/>
      <c r="J601" s="374"/>
      <c r="K601" s="263"/>
      <c r="L601" s="374">
        <f>$L$6</f>
        <v>2035</v>
      </c>
      <c r="M601" s="374"/>
      <c r="N601" s="374"/>
      <c r="O601" s="374"/>
    </row>
    <row r="602" spans="1:15" s="236" customFormat="1" x14ac:dyDescent="0.2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2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2">
      <c r="A604" s="237" t="str">
        <f>name!E$4</f>
        <v>Managers, directors and senior officials</v>
      </c>
      <c r="B604" s="302">
        <v>0.11180680190068237</v>
      </c>
      <c r="C604" s="302">
        <v>4.0214694147198797E-2</v>
      </c>
      <c r="D604" s="302">
        <v>1.2583415227333854E-2</v>
      </c>
      <c r="E604" s="302">
        <f>SUM(B604:D604)</f>
        <v>0.16460491127521504</v>
      </c>
      <c r="F604" s="303"/>
      <c r="G604" s="302">
        <v>4.600202374977868E-2</v>
      </c>
      <c r="H604" s="302">
        <v>4.1763802802595257E-2</v>
      </c>
      <c r="I604" s="302">
        <v>1.8527827685938567E-2</v>
      </c>
      <c r="J604" s="302">
        <f>SUM(G604:I604)</f>
        <v>0.10629365423831251</v>
      </c>
      <c r="K604" s="303"/>
      <c r="L604" s="302">
        <v>3.8194522145016722E-2</v>
      </c>
      <c r="M604" s="302">
        <v>3.3386757853647128E-2</v>
      </c>
      <c r="N604" s="302">
        <v>1.2083827645209011E-2</v>
      </c>
      <c r="O604" s="302">
        <f>SUM(L604:N604)</f>
        <v>8.366510764387286E-2</v>
      </c>
    </row>
    <row r="605" spans="1:15" s="236" customFormat="1" x14ac:dyDescent="0.2">
      <c r="A605" s="237" t="str">
        <f>name!E$5</f>
        <v>Professional occupations</v>
      </c>
      <c r="B605" s="302">
        <v>0.17217977101832671</v>
      </c>
      <c r="C605" s="302">
        <v>2.5079835376973569E-2</v>
      </c>
      <c r="D605" s="302">
        <v>9.3235106992680655E-3</v>
      </c>
      <c r="E605" s="302">
        <f t="shared" ref="E605:E612" si="266">SUM(B605:D605)</f>
        <v>0.20658311709456834</v>
      </c>
      <c r="F605" s="303"/>
      <c r="G605" s="302">
        <v>7.7977113472098541E-2</v>
      </c>
      <c r="H605" s="302">
        <v>2.7984637695798811E-2</v>
      </c>
      <c r="I605" s="302">
        <v>1.976903110380232E-2</v>
      </c>
      <c r="J605" s="302">
        <f t="shared" ref="J605:J607" si="267">SUM(G605:I605)</f>
        <v>0.12573078227169968</v>
      </c>
      <c r="K605" s="303"/>
      <c r="L605" s="302">
        <v>6.9304838358726292E-2</v>
      </c>
      <c r="M605" s="302">
        <v>2.5252762434321788E-2</v>
      </c>
      <c r="N605" s="302">
        <v>1.3918528580030289E-2</v>
      </c>
      <c r="O605" s="302">
        <f t="shared" ref="O605:O612" si="268">SUM(L605:N605)</f>
        <v>0.10847612937307836</v>
      </c>
    </row>
    <row r="606" spans="1:15" s="236" customFormat="1" x14ac:dyDescent="0.2">
      <c r="A606" s="237" t="str">
        <f>name!E$6</f>
        <v>Associate professional occupations</v>
      </c>
      <c r="B606" s="302">
        <v>0.22815005939657185</v>
      </c>
      <c r="C606" s="302">
        <v>2.3569429419129817E-2</v>
      </c>
      <c r="D606" s="302">
        <v>1.5790659417767441E-2</v>
      </c>
      <c r="E606" s="302">
        <f t="shared" si="266"/>
        <v>0.26751014823346908</v>
      </c>
      <c r="F606" s="303"/>
      <c r="G606" s="302">
        <v>9.0553989013538214E-2</v>
      </c>
      <c r="H606" s="302">
        <v>2.2927589501962095E-2</v>
      </c>
      <c r="I606" s="302">
        <v>3.1958415320529808E-2</v>
      </c>
      <c r="J606" s="302">
        <f t="shared" si="267"/>
        <v>0.14543999383603012</v>
      </c>
      <c r="K606" s="303"/>
      <c r="L606" s="302">
        <v>6.2583917674040562E-2</v>
      </c>
      <c r="M606" s="302">
        <v>1.6053931362205433E-2</v>
      </c>
      <c r="N606" s="302">
        <v>2.1679060185402485E-2</v>
      </c>
      <c r="O606" s="302">
        <f t="shared" si="268"/>
        <v>0.10031690922164847</v>
      </c>
    </row>
    <row r="607" spans="1:15" s="236" customFormat="1" x14ac:dyDescent="0.2">
      <c r="A607" s="237" t="str">
        <f>name!E$7</f>
        <v>Administrative and secretarial occupations</v>
      </c>
      <c r="B607" s="302">
        <v>0.17840617831304315</v>
      </c>
      <c r="C607" s="302">
        <v>6.7812800774970039E-2</v>
      </c>
      <c r="D607" s="302">
        <v>1.6149976059500269E-2</v>
      </c>
      <c r="E607" s="302">
        <f t="shared" si="266"/>
        <v>0.26236895514751346</v>
      </c>
      <c r="F607" s="303"/>
      <c r="G607" s="302">
        <v>6.5655138290957121E-2</v>
      </c>
      <c r="H607" s="302">
        <v>5.4717367307520727E-2</v>
      </c>
      <c r="I607" s="302">
        <v>5.9591317129674944E-3</v>
      </c>
      <c r="J607" s="302">
        <f t="shared" si="267"/>
        <v>0.12633163731144534</v>
      </c>
      <c r="K607" s="303"/>
      <c r="L607" s="302">
        <v>3.9895293757156398E-2</v>
      </c>
      <c r="M607" s="302">
        <v>3.0608664201566844E-2</v>
      </c>
      <c r="N607" s="302">
        <v>3.2168423136325177E-3</v>
      </c>
      <c r="O607" s="302">
        <f t="shared" si="268"/>
        <v>7.3720800272355766E-2</v>
      </c>
    </row>
    <row r="608" spans="1:15" s="236" customFormat="1" x14ac:dyDescent="0.2">
      <c r="A608" s="237" t="str">
        <f>name!E$8</f>
        <v>Skilled trades occupations</v>
      </c>
      <c r="B608" s="302">
        <v>2.8134278484393236E-2</v>
      </c>
      <c r="C608" s="302">
        <v>2.4727875749374933E-2</v>
      </c>
      <c r="D608" s="302">
        <v>7.937953700225913E-3</v>
      </c>
      <c r="E608" s="302">
        <f t="shared" si="266"/>
        <v>6.0800107933994083E-2</v>
      </c>
      <c r="F608" s="303"/>
      <c r="G608" s="302">
        <v>7.8374797163542828E-3</v>
      </c>
      <c r="H608" s="302">
        <v>1.1034728906414692E-2</v>
      </c>
      <c r="I608" s="302">
        <v>9.9329135169785865E-3</v>
      </c>
      <c r="J608" s="302">
        <f>SUM(G608:I608)</f>
        <v>2.8805122139747563E-2</v>
      </c>
      <c r="K608" s="303"/>
      <c r="L608" s="302">
        <v>6.0183952482033886E-3</v>
      </c>
      <c r="M608" s="302">
        <v>8.4048592868451975E-3</v>
      </c>
      <c r="N608" s="302">
        <v>5.0057970154058617E-3</v>
      </c>
      <c r="O608" s="302">
        <f t="shared" si="268"/>
        <v>1.9429051550454449E-2</v>
      </c>
    </row>
    <row r="609" spans="1:15" s="236" customFormat="1" x14ac:dyDescent="0.2">
      <c r="A609" s="237" t="str">
        <f>name!E$9</f>
        <v>Caring, leisure and other service occupations</v>
      </c>
      <c r="B609" s="302">
        <v>2.8825436542892036E-2</v>
      </c>
      <c r="C609" s="302">
        <v>2.2973819517737883E-2</v>
      </c>
      <c r="D609" s="302">
        <v>3.4056409097757696E-3</v>
      </c>
      <c r="E609" s="302">
        <f t="shared" si="266"/>
        <v>5.520489697040569E-2</v>
      </c>
      <c r="F609" s="303"/>
      <c r="G609" s="302">
        <v>9.0826618711573933E-3</v>
      </c>
      <c r="H609" s="302">
        <v>1.5193819568129825E-2</v>
      </c>
      <c r="I609" s="302">
        <v>1.7221712673648603E-3</v>
      </c>
      <c r="J609" s="302">
        <f t="shared" ref="J609:J612" si="269">SUM(G609:I609)</f>
        <v>2.5998652706652081E-2</v>
      </c>
      <c r="K609" s="303"/>
      <c r="L609" s="302">
        <v>6.493094524971519E-3</v>
      </c>
      <c r="M609" s="302">
        <v>9.4955508174826928E-3</v>
      </c>
      <c r="N609" s="302">
        <v>1.6410153140206014E-3</v>
      </c>
      <c r="O609" s="302">
        <f t="shared" si="268"/>
        <v>1.7629660656474814E-2</v>
      </c>
    </row>
    <row r="610" spans="1:15" s="236" customFormat="1" x14ac:dyDescent="0.2">
      <c r="A610" s="237" t="str">
        <f>name!E$10</f>
        <v>Sales and customer service occupations</v>
      </c>
      <c r="B610" s="302">
        <v>4.2694530309208958E-2</v>
      </c>
      <c r="C610" s="302">
        <v>1.9674954867679218E-2</v>
      </c>
      <c r="D610" s="302">
        <v>3.3386566962125379E-3</v>
      </c>
      <c r="E610" s="302">
        <f t="shared" si="266"/>
        <v>6.5708141873100714E-2</v>
      </c>
      <c r="F610" s="303"/>
      <c r="G610" s="302">
        <v>1.5068958940251648E-2</v>
      </c>
      <c r="H610" s="302">
        <v>1.5828972454784034E-2</v>
      </c>
      <c r="I610" s="302">
        <v>1.9403747579798966E-3</v>
      </c>
      <c r="J610" s="302">
        <f t="shared" si="269"/>
        <v>3.2838306153015577E-2</v>
      </c>
      <c r="K610" s="303"/>
      <c r="L610" s="302">
        <v>1.106052312127505E-2</v>
      </c>
      <c r="M610" s="302">
        <v>1.2231997590483617E-2</v>
      </c>
      <c r="N610" s="302">
        <v>1.5583786532985609E-3</v>
      </c>
      <c r="O610" s="302">
        <f t="shared" si="268"/>
        <v>2.4850899365057227E-2</v>
      </c>
    </row>
    <row r="611" spans="1:15" s="236" customFormat="1" x14ac:dyDescent="0.2">
      <c r="A611" s="237" t="str">
        <f>name!E$11</f>
        <v>Process, plant and machine operatives</v>
      </c>
      <c r="B611" s="302">
        <v>2.1523350086507988E-2</v>
      </c>
      <c r="C611" s="302">
        <v>2.7622792902641174E-2</v>
      </c>
      <c r="D611" s="302">
        <v>5.7330253588513905E-3</v>
      </c>
      <c r="E611" s="302">
        <f t="shared" si="266"/>
        <v>5.4879168348000551E-2</v>
      </c>
      <c r="F611" s="303"/>
      <c r="G611" s="302">
        <v>5.909879848927593E-3</v>
      </c>
      <c r="H611" s="302">
        <v>1.8292447343776701E-2</v>
      </c>
      <c r="I611" s="302">
        <v>6.1620025353218734E-3</v>
      </c>
      <c r="J611" s="302">
        <f t="shared" si="269"/>
        <v>3.0364329728026166E-2</v>
      </c>
      <c r="K611" s="303"/>
      <c r="L611" s="302">
        <v>1.7104236904629463E-3</v>
      </c>
      <c r="M611" s="302">
        <v>1.5561586588563291E-2</v>
      </c>
      <c r="N611" s="302">
        <v>4.250486778287826E-3</v>
      </c>
      <c r="O611" s="302">
        <f t="shared" si="268"/>
        <v>2.1522497057314065E-2</v>
      </c>
    </row>
    <row r="612" spans="1:15" s="236" customFormat="1" x14ac:dyDescent="0.2">
      <c r="A612" s="237" t="str">
        <f>name!E$12</f>
        <v>Elementary occupations</v>
      </c>
      <c r="B612" s="302">
        <v>4.3279593945378642E-2</v>
      </c>
      <c r="C612" s="302">
        <v>2.1323797243121261E-2</v>
      </c>
      <c r="D612" s="302">
        <v>5.737161931429628E-3</v>
      </c>
      <c r="E612" s="302">
        <f t="shared" si="266"/>
        <v>7.0340553119929539E-2</v>
      </c>
      <c r="F612" s="303"/>
      <c r="G612" s="302">
        <v>1.1912755096150134E-2</v>
      </c>
      <c r="H612" s="302">
        <v>1.2256634421344802E-2</v>
      </c>
      <c r="I612" s="302">
        <v>4.0281321008369337E-3</v>
      </c>
      <c r="J612" s="302">
        <f t="shared" si="269"/>
        <v>2.8197521618331868E-2</v>
      </c>
      <c r="K612" s="303"/>
      <c r="L612" s="302">
        <v>5.7389914794563094E-3</v>
      </c>
      <c r="M612" s="302">
        <v>6.0038898632380324E-3</v>
      </c>
      <c r="N612" s="302">
        <v>2.6460635163567448E-3</v>
      </c>
      <c r="O612" s="302">
        <f t="shared" si="268"/>
        <v>1.4388944859051086E-2</v>
      </c>
    </row>
    <row r="613" spans="1:15" s="236" customFormat="1" x14ac:dyDescent="0.2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2">
      <c r="A614" s="244" t="s">
        <v>32</v>
      </c>
      <c r="B614" s="311">
        <f>SUM(B604:B612)</f>
        <v>0.85499999999700493</v>
      </c>
      <c r="C614" s="311">
        <f t="shared" ref="C614:E614" si="270">SUM(C604:C612)</f>
        <v>0.27299999999882674</v>
      </c>
      <c r="D614" s="311">
        <f t="shared" si="270"/>
        <v>8.0000000000364876E-2</v>
      </c>
      <c r="E614" s="311">
        <f t="shared" si="270"/>
        <v>1.2079999999961963</v>
      </c>
      <c r="F614" s="311"/>
      <c r="G614" s="311">
        <f t="shared" ref="G614:J614" si="271">SUM(G604:G612)</f>
        <v>0.3299999999992137</v>
      </c>
      <c r="H614" s="311">
        <f t="shared" si="271"/>
        <v>0.22000000000232695</v>
      </c>
      <c r="I614" s="311">
        <f t="shared" si="271"/>
        <v>0.10000000000172034</v>
      </c>
      <c r="J614" s="311">
        <f t="shared" si="271"/>
        <v>0.65000000000326075</v>
      </c>
      <c r="K614" s="311"/>
      <c r="L614" s="311">
        <f t="shared" ref="L614:O614" si="272">SUM(L604:L612)</f>
        <v>0.24099999999930918</v>
      </c>
      <c r="M614" s="311">
        <f t="shared" si="272"/>
        <v>0.15699999999835404</v>
      </c>
      <c r="N614" s="311">
        <f t="shared" si="272"/>
        <v>6.6000000001643896E-2</v>
      </c>
      <c r="O614" s="311">
        <f t="shared" si="272"/>
        <v>0.46399999999930713</v>
      </c>
    </row>
    <row r="615" spans="1:15" s="236" customFormat="1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2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2">
      <c r="A618" s="241" t="str">
        <f>name!A39</f>
        <v>Air transport</v>
      </c>
      <c r="B618" s="374">
        <f>$B$6</f>
        <v>2015</v>
      </c>
      <c r="C618" s="374"/>
      <c r="D618" s="374"/>
      <c r="E618" s="374"/>
      <c r="F618" s="263"/>
      <c r="G618" s="374">
        <f>$G$6</f>
        <v>2020</v>
      </c>
      <c r="H618" s="374"/>
      <c r="I618" s="374"/>
      <c r="J618" s="374"/>
      <c r="K618" s="263"/>
      <c r="L618" s="374">
        <f>$L$6</f>
        <v>2035</v>
      </c>
      <c r="M618" s="374"/>
      <c r="N618" s="374"/>
      <c r="O618" s="374"/>
    </row>
    <row r="619" spans="1:15" s="236" customFormat="1" x14ac:dyDescent="0.2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2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2">
      <c r="A621" s="237" t="str">
        <f>name!E$4</f>
        <v>Managers, directors and senior officials</v>
      </c>
      <c r="B621" s="302">
        <v>0.12357318683020294</v>
      </c>
      <c r="C621" s="302">
        <v>2.9558996155759631E-3</v>
      </c>
      <c r="D621" s="302">
        <v>8.3613769110410102E-3</v>
      </c>
      <c r="E621" s="302">
        <f>SUM(B621:D621)</f>
        <v>0.13489046335681992</v>
      </c>
      <c r="F621" s="303"/>
      <c r="G621" s="302">
        <v>0.14956322400386937</v>
      </c>
      <c r="H621" s="302">
        <v>7.0848511986087801E-3</v>
      </c>
      <c r="I621" s="302">
        <v>3.0912121262877949E-2</v>
      </c>
      <c r="J621" s="302">
        <f>SUM(G621:I621)</f>
        <v>0.1875601964653561</v>
      </c>
      <c r="K621" s="303"/>
      <c r="L621" s="302">
        <v>0.21085724030773667</v>
      </c>
      <c r="M621" s="302">
        <v>1.0986686773284252E-2</v>
      </c>
      <c r="N621" s="302">
        <v>4.4917092182707438E-2</v>
      </c>
      <c r="O621" s="302">
        <f>SUM(L621:N621)</f>
        <v>0.26676101926372836</v>
      </c>
    </row>
    <row r="622" spans="1:15" s="236" customFormat="1" x14ac:dyDescent="0.2">
      <c r="A622" s="237" t="str">
        <f>name!E$5</f>
        <v>Professional occupations</v>
      </c>
      <c r="B622" s="302">
        <v>0.2939027070961181</v>
      </c>
      <c r="C622" s="302">
        <v>1.0350106480980028E-2</v>
      </c>
      <c r="D622" s="302">
        <v>8.757004975179089E-3</v>
      </c>
      <c r="E622" s="302">
        <f t="shared" ref="E622:E629" si="273">SUM(B622:D622)</f>
        <v>0.31300981855227716</v>
      </c>
      <c r="F622" s="303"/>
      <c r="G622" s="302">
        <v>0.39702440220987273</v>
      </c>
      <c r="H622" s="302">
        <v>2.5917177562783871E-2</v>
      </c>
      <c r="I622" s="302">
        <v>3.1307212502799282E-2</v>
      </c>
      <c r="J622" s="302">
        <f t="shared" ref="J622:J624" si="274">SUM(G622:I622)</f>
        <v>0.45424879227545589</v>
      </c>
      <c r="K622" s="303"/>
      <c r="L622" s="302">
        <v>0.63815414743327137</v>
      </c>
      <c r="M622" s="302">
        <v>4.725474974316532E-2</v>
      </c>
      <c r="N622" s="302">
        <v>3.8618815158108374E-2</v>
      </c>
      <c r="O622" s="302">
        <f t="shared" ref="O622:O629" si="275">SUM(L622:N622)</f>
        <v>0.7240277123345451</v>
      </c>
    </row>
    <row r="623" spans="1:15" s="236" customFormat="1" x14ac:dyDescent="0.2">
      <c r="A623" s="237" t="str">
        <f>name!E$6</f>
        <v>Associate professional occupations</v>
      </c>
      <c r="B623" s="302">
        <v>0.46050427780809755</v>
      </c>
      <c r="C623" s="302">
        <v>3.6647671126343581E-2</v>
      </c>
      <c r="D623" s="302">
        <v>7.1232504319136683E-3</v>
      </c>
      <c r="E623" s="302">
        <f t="shared" si="273"/>
        <v>0.50427519936635479</v>
      </c>
      <c r="F623" s="303"/>
      <c r="G623" s="302">
        <v>0.54889353764617899</v>
      </c>
      <c r="H623" s="302">
        <v>7.2271488563145789E-2</v>
      </c>
      <c r="I623" s="302">
        <v>1.9944242909549884E-2</v>
      </c>
      <c r="J623" s="302">
        <f t="shared" si="274"/>
        <v>0.64110926911887467</v>
      </c>
      <c r="K623" s="303"/>
      <c r="L623" s="302">
        <v>0.67955591311211494</v>
      </c>
      <c r="M623" s="302">
        <v>0.11155278364533962</v>
      </c>
      <c r="N623" s="302">
        <v>2.4206808511855187E-2</v>
      </c>
      <c r="O623" s="302">
        <f t="shared" si="275"/>
        <v>0.81531550526930974</v>
      </c>
    </row>
    <row r="624" spans="1:15" s="236" customFormat="1" x14ac:dyDescent="0.2">
      <c r="A624" s="237" t="str">
        <f>name!E$7</f>
        <v>Administrative and secretarial occupations</v>
      </c>
      <c r="B624" s="302">
        <v>0.1425427584591909</v>
      </c>
      <c r="C624" s="302">
        <v>3.5253694537160707E-2</v>
      </c>
      <c r="D624" s="302">
        <v>1.7084860061061954E-3</v>
      </c>
      <c r="E624" s="302">
        <f t="shared" si="273"/>
        <v>0.17950493900245781</v>
      </c>
      <c r="F624" s="303"/>
      <c r="G624" s="302">
        <v>0.17030194370409021</v>
      </c>
      <c r="H624" s="302">
        <v>6.5337088424565454E-2</v>
      </c>
      <c r="I624" s="302">
        <v>3.0923325899666551E-3</v>
      </c>
      <c r="J624" s="302">
        <f t="shared" si="274"/>
        <v>0.23873136471862233</v>
      </c>
      <c r="K624" s="303"/>
      <c r="L624" s="302">
        <v>0.23239935847323392</v>
      </c>
      <c r="M624" s="302">
        <v>8.7134725161201881E-2</v>
      </c>
      <c r="N624" s="302">
        <v>4.2281289789641539E-3</v>
      </c>
      <c r="O624" s="302">
        <f t="shared" si="275"/>
        <v>0.32376221261339994</v>
      </c>
    </row>
    <row r="625" spans="1:15" s="236" customFormat="1" x14ac:dyDescent="0.2">
      <c r="A625" s="237" t="str">
        <f>name!E$8</f>
        <v>Skilled trades occupations</v>
      </c>
      <c r="B625" s="302">
        <v>0.16737817151851686</v>
      </c>
      <c r="C625" s="302">
        <v>1.4235304335952811E-2</v>
      </c>
      <c r="D625" s="302">
        <v>2.4418222340768649E-2</v>
      </c>
      <c r="E625" s="302">
        <f t="shared" si="273"/>
        <v>0.20603169819523834</v>
      </c>
      <c r="F625" s="303"/>
      <c r="G625" s="302">
        <v>0.13515908484278949</v>
      </c>
      <c r="H625" s="302">
        <v>1.2601367134128058E-2</v>
      </c>
      <c r="I625" s="302">
        <v>7.9009035967962132E-2</v>
      </c>
      <c r="J625" s="302">
        <f>SUM(G625:I625)</f>
        <v>0.22676948794487969</v>
      </c>
      <c r="K625" s="303"/>
      <c r="L625" s="302">
        <v>0.13999804126709742</v>
      </c>
      <c r="M625" s="302">
        <v>2.1062685307789729E-2</v>
      </c>
      <c r="N625" s="302">
        <v>0.11182383998625903</v>
      </c>
      <c r="O625" s="302">
        <f t="shared" si="275"/>
        <v>0.27288456656114618</v>
      </c>
    </row>
    <row r="626" spans="1:15" s="236" customFormat="1" x14ac:dyDescent="0.2">
      <c r="A626" s="237" t="str">
        <f>name!E$9</f>
        <v>Caring, leisure and other service occupations</v>
      </c>
      <c r="B626" s="302">
        <v>0.24847421667920649</v>
      </c>
      <c r="C626" s="302">
        <v>0.12386520349391889</v>
      </c>
      <c r="D626" s="302">
        <v>3.8096022657043709E-3</v>
      </c>
      <c r="E626" s="302">
        <f t="shared" si="273"/>
        <v>0.37614902243882975</v>
      </c>
      <c r="F626" s="303"/>
      <c r="G626" s="302">
        <v>0.25233117465258886</v>
      </c>
      <c r="H626" s="302">
        <v>0.1942405641276724</v>
      </c>
      <c r="I626" s="302">
        <v>6.451675682455975E-3</v>
      </c>
      <c r="J626" s="302">
        <f t="shared" ref="J626:J629" si="276">SUM(G626:I626)</f>
        <v>0.45302341446271721</v>
      </c>
      <c r="K626" s="303"/>
      <c r="L626" s="302">
        <v>0.33264641798657368</v>
      </c>
      <c r="M626" s="302">
        <v>0.28266570277625297</v>
      </c>
      <c r="N626" s="302">
        <v>9.4504982339177878E-3</v>
      </c>
      <c r="O626" s="302">
        <f t="shared" si="275"/>
        <v>0.62476261899674446</v>
      </c>
    </row>
    <row r="627" spans="1:15" s="236" customFormat="1" x14ac:dyDescent="0.2">
      <c r="A627" s="237" t="str">
        <f>name!E$10</f>
        <v>Sales and customer service occupations</v>
      </c>
      <c r="B627" s="302">
        <v>5.0781240457328236E-2</v>
      </c>
      <c r="C627" s="302">
        <v>2.7514691200060531E-2</v>
      </c>
      <c r="D627" s="302">
        <v>2.852839131774987E-3</v>
      </c>
      <c r="E627" s="302">
        <f t="shared" si="273"/>
        <v>8.1148770789163757E-2</v>
      </c>
      <c r="F627" s="303"/>
      <c r="G627" s="302">
        <v>5.8658524626710756E-2</v>
      </c>
      <c r="H627" s="302">
        <v>5.4892775606753021E-2</v>
      </c>
      <c r="I627" s="302">
        <v>6.759842322313447E-3</v>
      </c>
      <c r="J627" s="302">
        <f t="shared" si="276"/>
        <v>0.12031114255577721</v>
      </c>
      <c r="K627" s="303"/>
      <c r="L627" s="302">
        <v>9.199692627946221E-2</v>
      </c>
      <c r="M627" s="302">
        <v>0.10822253575541213</v>
      </c>
      <c r="N627" s="302">
        <v>7.7910122793551596E-3</v>
      </c>
      <c r="O627" s="302">
        <f t="shared" si="275"/>
        <v>0.2080104743142295</v>
      </c>
    </row>
    <row r="628" spans="1:15" s="236" customFormat="1" x14ac:dyDescent="0.2">
      <c r="A628" s="237" t="str">
        <f>name!E$11</f>
        <v>Process, plant and machine operatives</v>
      </c>
      <c r="B628" s="302">
        <v>0.10959805506454189</v>
      </c>
      <c r="C628" s="302">
        <v>1.7087159471927207E-2</v>
      </c>
      <c r="D628" s="302">
        <v>3.89246126326222E-3</v>
      </c>
      <c r="E628" s="302">
        <f t="shared" si="273"/>
        <v>0.13057767579973131</v>
      </c>
      <c r="F628" s="303"/>
      <c r="G628" s="302">
        <v>9.4361924625267782E-2</v>
      </c>
      <c r="H628" s="302">
        <v>2.3202924871029915E-2</v>
      </c>
      <c r="I628" s="302">
        <v>1.9101559863244646E-2</v>
      </c>
      <c r="J628" s="302">
        <f t="shared" si="276"/>
        <v>0.13666640935954233</v>
      </c>
      <c r="K628" s="303"/>
      <c r="L628" s="302">
        <v>0.12646054547964095</v>
      </c>
      <c r="M628" s="302">
        <v>4.5178094486207243E-2</v>
      </c>
      <c r="N628" s="302">
        <v>3.1713421164615264E-2</v>
      </c>
      <c r="O628" s="302">
        <f t="shared" si="275"/>
        <v>0.20335206113046345</v>
      </c>
    </row>
    <row r="629" spans="1:15" s="236" customFormat="1" x14ac:dyDescent="0.2">
      <c r="A629" s="237" t="str">
        <f>name!E$12</f>
        <v>Elementary occupations</v>
      </c>
      <c r="B629" s="302">
        <v>0.10524538608070858</v>
      </c>
      <c r="C629" s="302">
        <v>1.3090269737456636E-2</v>
      </c>
      <c r="D629" s="302">
        <v>5.0767566743422261E-3</v>
      </c>
      <c r="E629" s="302">
        <f t="shared" si="273"/>
        <v>0.12341241249250744</v>
      </c>
      <c r="F629" s="303"/>
      <c r="G629" s="302">
        <v>0.11070618368842489</v>
      </c>
      <c r="H629" s="302">
        <v>1.7451762520604253E-2</v>
      </c>
      <c r="I629" s="302">
        <v>1.0421976899758227E-2</v>
      </c>
      <c r="J629" s="302">
        <f t="shared" si="276"/>
        <v>0.13857992310878739</v>
      </c>
      <c r="K629" s="303"/>
      <c r="L629" s="302">
        <v>0.12593140965622296</v>
      </c>
      <c r="M629" s="302">
        <v>2.0942036342354364E-2</v>
      </c>
      <c r="N629" s="302">
        <v>1.8250383504978866E-2</v>
      </c>
      <c r="O629" s="302">
        <f t="shared" si="275"/>
        <v>0.1651238295035562</v>
      </c>
    </row>
    <row r="630" spans="1:15" s="236" customFormat="1" x14ac:dyDescent="0.2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2">
      <c r="A631" s="244" t="s">
        <v>32</v>
      </c>
      <c r="B631" s="311">
        <f>SUM(B621:B629)</f>
        <v>1.7019999999939115</v>
      </c>
      <c r="C631" s="311">
        <f t="shared" ref="C631:E631" si="277">SUM(C621:C629)</f>
        <v>0.2809999999993763</v>
      </c>
      <c r="D631" s="311">
        <f t="shared" si="277"/>
        <v>6.6000000000092415E-2</v>
      </c>
      <c r="E631" s="311">
        <f t="shared" si="277"/>
        <v>2.0489999999933803</v>
      </c>
      <c r="F631" s="311"/>
      <c r="G631" s="311">
        <f t="shared" ref="G631:J631" si="278">SUM(G621:G629)</f>
        <v>1.9169999999997933</v>
      </c>
      <c r="H631" s="311">
        <f t="shared" si="278"/>
        <v>0.47300000000929154</v>
      </c>
      <c r="I631" s="311">
        <f t="shared" si="278"/>
        <v>0.20700000000092819</v>
      </c>
      <c r="J631" s="311">
        <f t="shared" si="278"/>
        <v>2.597000000010012</v>
      </c>
      <c r="K631" s="311"/>
      <c r="L631" s="311">
        <f t="shared" ref="L631:O631" si="279">SUM(L621:L629)</f>
        <v>2.5779999999953542</v>
      </c>
      <c r="M631" s="311">
        <f t="shared" si="279"/>
        <v>0.7349999999910074</v>
      </c>
      <c r="N631" s="311">
        <f t="shared" si="279"/>
        <v>0.29100000000076126</v>
      </c>
      <c r="O631" s="311">
        <f t="shared" si="279"/>
        <v>3.6039999999871233</v>
      </c>
    </row>
    <row r="632" spans="1:15" s="236" customFormat="1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2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2">
      <c r="A635" s="241" t="str">
        <f>name!A40</f>
        <v>Warehousing, etc</v>
      </c>
      <c r="B635" s="374">
        <f>$B$6</f>
        <v>2015</v>
      </c>
      <c r="C635" s="374"/>
      <c r="D635" s="374"/>
      <c r="E635" s="374"/>
      <c r="F635" s="263"/>
      <c r="G635" s="374">
        <f>$G$6</f>
        <v>2020</v>
      </c>
      <c r="H635" s="374"/>
      <c r="I635" s="374"/>
      <c r="J635" s="374"/>
      <c r="K635" s="263"/>
      <c r="L635" s="374">
        <f>$L$6</f>
        <v>2035</v>
      </c>
      <c r="M635" s="374"/>
      <c r="N635" s="374"/>
      <c r="O635" s="374"/>
    </row>
    <row r="636" spans="1:15" s="236" customFormat="1" x14ac:dyDescent="0.2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2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2">
      <c r="A638" s="237" t="str">
        <f>name!E$4</f>
        <v>Managers, directors and senior officials</v>
      </c>
      <c r="B638" s="302">
        <v>3.4107400628909126</v>
      </c>
      <c r="C638" s="302">
        <v>0.1927805369748741</v>
      </c>
      <c r="D638" s="302">
        <v>0.62558245415777836</v>
      </c>
      <c r="E638" s="302">
        <f>SUM(B638:D638)</f>
        <v>4.2291030540235655</v>
      </c>
      <c r="F638" s="303"/>
      <c r="G638" s="302">
        <v>3.9105968090194896</v>
      </c>
      <c r="H638" s="302">
        <v>0.45685002296814353</v>
      </c>
      <c r="I638" s="302">
        <v>0.74666205379425654</v>
      </c>
      <c r="J638" s="302">
        <f>SUM(G638:I638)</f>
        <v>5.1141088857818895</v>
      </c>
      <c r="K638" s="303"/>
      <c r="L638" s="302">
        <v>4.3188302043876625</v>
      </c>
      <c r="M638" s="302">
        <v>0.5851565377125012</v>
      </c>
      <c r="N638" s="302">
        <v>0.69460380073994865</v>
      </c>
      <c r="O638" s="302">
        <f>SUM(L638:N638)</f>
        <v>5.598590542840113</v>
      </c>
    </row>
    <row r="639" spans="1:15" s="236" customFormat="1" x14ac:dyDescent="0.2">
      <c r="A639" s="237" t="str">
        <f>name!E$5</f>
        <v>Professional occupations</v>
      </c>
      <c r="B639" s="302">
        <v>2.9070418997553302</v>
      </c>
      <c r="C639" s="302">
        <v>0.12969826993038394</v>
      </c>
      <c r="D639" s="302">
        <v>0.22759218558828945</v>
      </c>
      <c r="E639" s="302">
        <f t="shared" ref="E639:E646" si="280">SUM(B639:D639)</f>
        <v>3.264332355274004</v>
      </c>
      <c r="F639" s="303"/>
      <c r="G639" s="302">
        <v>3.7450074255297787</v>
      </c>
      <c r="H639" s="302">
        <v>0.30963369986213435</v>
      </c>
      <c r="I639" s="302">
        <v>0.26399037970514677</v>
      </c>
      <c r="J639" s="302">
        <f t="shared" ref="J639:J641" si="281">SUM(G639:I639)</f>
        <v>4.3186315050970601</v>
      </c>
      <c r="K639" s="303"/>
      <c r="L639" s="302">
        <v>4.9414136456780637</v>
      </c>
      <c r="M639" s="302">
        <v>0.43624042053136125</v>
      </c>
      <c r="N639" s="302">
        <v>0.21237150539952551</v>
      </c>
      <c r="O639" s="302">
        <f t="shared" ref="O639:O646" si="282">SUM(L639:N639)</f>
        <v>5.5900255716089511</v>
      </c>
    </row>
    <row r="640" spans="1:15" s="236" customFormat="1" x14ac:dyDescent="0.2">
      <c r="A640" s="237" t="str">
        <f>name!E$6</f>
        <v>Associate professional occupations</v>
      </c>
      <c r="B640" s="302">
        <v>2.7542246610703174</v>
      </c>
      <c r="C640" s="302">
        <v>0.18884840761387334</v>
      </c>
      <c r="D640" s="302">
        <v>0.23445506311276068</v>
      </c>
      <c r="E640" s="302">
        <f t="shared" si="280"/>
        <v>3.1775281317969517</v>
      </c>
      <c r="F640" s="303"/>
      <c r="G640" s="302">
        <v>3.2371989623930815</v>
      </c>
      <c r="H640" s="302">
        <v>0.40563072798068467</v>
      </c>
      <c r="I640" s="302">
        <v>0.24331295945722417</v>
      </c>
      <c r="J640" s="302">
        <f t="shared" si="281"/>
        <v>3.8861426498309903</v>
      </c>
      <c r="K640" s="303"/>
      <c r="L640" s="302">
        <v>3.3737823927054751</v>
      </c>
      <c r="M640" s="302">
        <v>0.48074967625600884</v>
      </c>
      <c r="N640" s="302">
        <v>0.20115246966583789</v>
      </c>
      <c r="O640" s="302">
        <f t="shared" si="282"/>
        <v>4.0556845386273217</v>
      </c>
    </row>
    <row r="641" spans="1:15" s="236" customFormat="1" x14ac:dyDescent="0.2">
      <c r="A641" s="237" t="str">
        <f>name!E$7</f>
        <v>Administrative and secretarial occupations</v>
      </c>
      <c r="B641" s="302">
        <v>2.5927474006950657</v>
      </c>
      <c r="C641" s="302">
        <v>0.58335127333035242</v>
      </c>
      <c r="D641" s="302">
        <v>0.15264603946900757</v>
      </c>
      <c r="E641" s="302">
        <f t="shared" si="280"/>
        <v>3.3287447134944257</v>
      </c>
      <c r="F641" s="303"/>
      <c r="G641" s="302">
        <v>3.0939917876920253</v>
      </c>
      <c r="H641" s="302">
        <v>1.0237362236757273</v>
      </c>
      <c r="I641" s="302">
        <v>0.10586287522965057</v>
      </c>
      <c r="J641" s="302">
        <f t="shared" si="281"/>
        <v>4.2235908865974032</v>
      </c>
      <c r="K641" s="303"/>
      <c r="L641" s="302">
        <v>3.2632002479085163</v>
      </c>
      <c r="M641" s="302">
        <v>0.89053086565264261</v>
      </c>
      <c r="N641" s="302">
        <v>0.10036106653174756</v>
      </c>
      <c r="O641" s="302">
        <f t="shared" si="282"/>
        <v>4.2540921800929068</v>
      </c>
    </row>
    <row r="642" spans="1:15" s="236" customFormat="1" x14ac:dyDescent="0.2">
      <c r="A642" s="237" t="str">
        <f>name!E$8</f>
        <v>Skilled trades occupations</v>
      </c>
      <c r="B642" s="302">
        <v>1.0361785851779177</v>
      </c>
      <c r="C642" s="302">
        <v>0.18993857122940408</v>
      </c>
      <c r="D642" s="302">
        <v>0.23668999819977146</v>
      </c>
      <c r="E642" s="302">
        <f t="shared" si="280"/>
        <v>1.4628071546070933</v>
      </c>
      <c r="F642" s="303"/>
      <c r="G642" s="302">
        <v>0.83382537718109873</v>
      </c>
      <c r="H642" s="302">
        <v>0.21090884970748061</v>
      </c>
      <c r="I642" s="302">
        <v>0.23258585950098665</v>
      </c>
      <c r="J642" s="302">
        <f>SUM(G642:I642)</f>
        <v>1.277320086389566</v>
      </c>
      <c r="K642" s="303"/>
      <c r="L642" s="302">
        <v>0.7780113282975174</v>
      </c>
      <c r="M642" s="302">
        <v>0.37362201294787795</v>
      </c>
      <c r="N642" s="302">
        <v>0.21424388697950708</v>
      </c>
      <c r="O642" s="302">
        <f t="shared" si="282"/>
        <v>1.3658772282249025</v>
      </c>
    </row>
    <row r="643" spans="1:15" s="236" customFormat="1" x14ac:dyDescent="0.2">
      <c r="A643" s="237" t="str">
        <f>name!E$9</f>
        <v>Caring, leisure and other service occupations</v>
      </c>
      <c r="B643" s="302">
        <v>1.5250096181328956</v>
      </c>
      <c r="C643" s="302">
        <v>0.93335171532775918</v>
      </c>
      <c r="D643" s="302">
        <v>0.57668533580936043</v>
      </c>
      <c r="E643" s="302">
        <f t="shared" si="280"/>
        <v>3.0350466692700149</v>
      </c>
      <c r="F643" s="303"/>
      <c r="G643" s="302">
        <v>1.6259151980980193</v>
      </c>
      <c r="H643" s="302">
        <v>1.3716853104433786</v>
      </c>
      <c r="I643" s="302">
        <v>0.36808030032656353</v>
      </c>
      <c r="J643" s="302">
        <f t="shared" ref="J643:J646" si="283">SUM(G643:I643)</f>
        <v>3.3656808088679613</v>
      </c>
      <c r="K643" s="303"/>
      <c r="L643" s="302">
        <v>1.6927650096014184</v>
      </c>
      <c r="M643" s="302">
        <v>1.4923287162582144</v>
      </c>
      <c r="N643" s="302">
        <v>0.42173821311156545</v>
      </c>
      <c r="O643" s="302">
        <f t="shared" si="282"/>
        <v>3.6068319389711982</v>
      </c>
    </row>
    <row r="644" spans="1:15" s="236" customFormat="1" x14ac:dyDescent="0.2">
      <c r="A644" s="237" t="str">
        <f>name!E$10</f>
        <v>Sales and customer service occupations</v>
      </c>
      <c r="B644" s="302">
        <v>1.2968917781572726</v>
      </c>
      <c r="C644" s="302">
        <v>0.20745211666668678</v>
      </c>
      <c r="D644" s="302">
        <v>0.15169251950995946</v>
      </c>
      <c r="E644" s="302">
        <f t="shared" si="280"/>
        <v>1.6560364143339188</v>
      </c>
      <c r="F644" s="303"/>
      <c r="G644" s="302">
        <v>1.3923915609638775</v>
      </c>
      <c r="H644" s="302">
        <v>0.36257535199009955</v>
      </c>
      <c r="I644" s="302">
        <v>0.11576491946164175</v>
      </c>
      <c r="J644" s="302">
        <f t="shared" si="283"/>
        <v>1.8707318324156188</v>
      </c>
      <c r="K644" s="303"/>
      <c r="L644" s="302">
        <v>1.6998170758739588</v>
      </c>
      <c r="M644" s="302">
        <v>0.5372536454295872</v>
      </c>
      <c r="N644" s="302">
        <v>9.1333406536383124E-2</v>
      </c>
      <c r="O644" s="302">
        <f t="shared" si="282"/>
        <v>2.3284041278399292</v>
      </c>
    </row>
    <row r="645" spans="1:15" s="236" customFormat="1" x14ac:dyDescent="0.2">
      <c r="A645" s="237" t="str">
        <f>name!E$11</f>
        <v>Process, plant and machine operatives</v>
      </c>
      <c r="B645" s="302">
        <v>4.3807170335485806</v>
      </c>
      <c r="C645" s="302">
        <v>0.62207154256631347</v>
      </c>
      <c r="D645" s="302">
        <v>0.14909612582276055</v>
      </c>
      <c r="E645" s="302">
        <f t="shared" si="280"/>
        <v>5.1518847019376546</v>
      </c>
      <c r="F645" s="303"/>
      <c r="G645" s="302">
        <v>3.6876749395756283</v>
      </c>
      <c r="H645" s="302">
        <v>0.95376289038899875</v>
      </c>
      <c r="I645" s="302">
        <v>0.19919768815116992</v>
      </c>
      <c r="J645" s="302">
        <f t="shared" si="283"/>
        <v>4.8406355181157963</v>
      </c>
      <c r="K645" s="303"/>
      <c r="L645" s="302">
        <v>3.674518427074501</v>
      </c>
      <c r="M645" s="302">
        <v>1.2322626300229238</v>
      </c>
      <c r="N645" s="302">
        <v>0.18665556871161859</v>
      </c>
      <c r="O645" s="302">
        <f t="shared" si="282"/>
        <v>5.0934366258090433</v>
      </c>
    </row>
    <row r="646" spans="1:15" s="236" customFormat="1" x14ac:dyDescent="0.2">
      <c r="A646" s="237" t="str">
        <f>name!E$12</f>
        <v>Elementary occupations</v>
      </c>
      <c r="B646" s="302">
        <v>4.7974489605878201</v>
      </c>
      <c r="C646" s="302">
        <v>0.8005075663769482</v>
      </c>
      <c r="D646" s="302">
        <v>9.7560278368898176E-2</v>
      </c>
      <c r="E646" s="302">
        <f t="shared" si="280"/>
        <v>5.6955168053336669</v>
      </c>
      <c r="F646" s="303"/>
      <c r="G646" s="302">
        <v>3.796397939702282</v>
      </c>
      <c r="H646" s="302">
        <v>0.96521692308238882</v>
      </c>
      <c r="I646" s="302">
        <v>8.2542964416332784E-2</v>
      </c>
      <c r="J646" s="302">
        <f t="shared" si="283"/>
        <v>4.8441578272010037</v>
      </c>
      <c r="K646" s="303"/>
      <c r="L646" s="302">
        <v>2.4776616686544406</v>
      </c>
      <c r="M646" s="302">
        <v>0.70785549518736568</v>
      </c>
      <c r="N646" s="302">
        <v>7.8540082393261254E-2</v>
      </c>
      <c r="O646" s="302">
        <f t="shared" si="282"/>
        <v>3.2640572462350677</v>
      </c>
    </row>
    <row r="647" spans="1:15" s="236" customFormat="1" x14ac:dyDescent="0.2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2">
      <c r="A648" s="244" t="s">
        <v>32</v>
      </c>
      <c r="B648" s="311">
        <f>SUM(B638:B646)</f>
        <v>24.701000000016116</v>
      </c>
      <c r="C648" s="311">
        <f t="shared" ref="C648:E648" si="284">SUM(C638:C646)</f>
        <v>3.8480000000165959</v>
      </c>
      <c r="D648" s="311">
        <f t="shared" si="284"/>
        <v>2.4520000000385869</v>
      </c>
      <c r="E648" s="311">
        <f t="shared" si="284"/>
        <v>31.001000000071297</v>
      </c>
      <c r="F648" s="311"/>
      <c r="G648" s="311">
        <f t="shared" ref="G648:J648" si="285">SUM(G638:G646)</f>
        <v>25.323000000155279</v>
      </c>
      <c r="H648" s="311">
        <f t="shared" si="285"/>
        <v>6.0600000000990359</v>
      </c>
      <c r="I648" s="311">
        <f t="shared" si="285"/>
        <v>2.3580000000429728</v>
      </c>
      <c r="J648" s="311">
        <f t="shared" si="285"/>
        <v>33.741000000297284</v>
      </c>
      <c r="K648" s="311"/>
      <c r="L648" s="311">
        <f t="shared" ref="L648:O648" si="286">SUM(L638:L646)</f>
        <v>26.220000000181557</v>
      </c>
      <c r="M648" s="311">
        <f t="shared" si="286"/>
        <v>6.7359999999984836</v>
      </c>
      <c r="N648" s="311">
        <f t="shared" si="286"/>
        <v>2.2010000000693952</v>
      </c>
      <c r="O648" s="311">
        <f t="shared" si="286"/>
        <v>35.157000000249433</v>
      </c>
    </row>
    <row r="649" spans="1:15" s="236" customFormat="1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2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2">
      <c r="A652" s="241" t="str">
        <f>name!A41</f>
        <v>Postal and courier</v>
      </c>
      <c r="B652" s="374">
        <f>$B$6</f>
        <v>2015</v>
      </c>
      <c r="C652" s="374"/>
      <c r="D652" s="374"/>
      <c r="E652" s="374"/>
      <c r="F652" s="263"/>
      <c r="G652" s="374">
        <f>$G$6</f>
        <v>2020</v>
      </c>
      <c r="H652" s="374"/>
      <c r="I652" s="374"/>
      <c r="J652" s="374"/>
      <c r="K652" s="263"/>
      <c r="L652" s="374">
        <f>$L$6</f>
        <v>2035</v>
      </c>
      <c r="M652" s="374"/>
      <c r="N652" s="374"/>
      <c r="O652" s="374"/>
    </row>
    <row r="653" spans="1:15" s="236" customFormat="1" x14ac:dyDescent="0.2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2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2">
      <c r="A655" s="237" t="str">
        <f>name!E$4</f>
        <v>Managers, directors and senior officials</v>
      </c>
      <c r="B655" s="302">
        <v>1.978260889596992</v>
      </c>
      <c r="C655" s="302">
        <v>0.14254732651451132</v>
      </c>
      <c r="D655" s="302">
        <v>0.3635540196722587</v>
      </c>
      <c r="E655" s="302">
        <f>SUM(B655:D655)</f>
        <v>2.4843622357837618</v>
      </c>
      <c r="F655" s="303"/>
      <c r="G655" s="302">
        <v>1.7679428883748718</v>
      </c>
      <c r="H655" s="302">
        <v>0.28961126773884904</v>
      </c>
      <c r="I655" s="302">
        <v>0.38249721770481893</v>
      </c>
      <c r="J655" s="302">
        <f>SUM(G655:I655)</f>
        <v>2.4400513738185396</v>
      </c>
      <c r="K655" s="303"/>
      <c r="L655" s="302">
        <v>2.1344942779917551</v>
      </c>
      <c r="M655" s="302">
        <v>0.43119128635831083</v>
      </c>
      <c r="N655" s="302">
        <v>0.28965588431006933</v>
      </c>
      <c r="O655" s="302">
        <f>SUM(L655:N655)</f>
        <v>2.8553414486601354</v>
      </c>
    </row>
    <row r="656" spans="1:15" s="236" customFormat="1" x14ac:dyDescent="0.2">
      <c r="A656" s="237" t="str">
        <f>name!E$5</f>
        <v>Professional occupations</v>
      </c>
      <c r="B656" s="302">
        <v>1.1990939462867358</v>
      </c>
      <c r="C656" s="302">
        <v>0.13742062244477518</v>
      </c>
      <c r="D656" s="302">
        <v>0.11373360530790161</v>
      </c>
      <c r="E656" s="302">
        <f t="shared" ref="E656:E663" si="287">SUM(B656:D656)</f>
        <v>1.4502481740394126</v>
      </c>
      <c r="F656" s="303"/>
      <c r="G656" s="302">
        <v>1.2347633245277805</v>
      </c>
      <c r="H656" s="302">
        <v>0.26814607166026599</v>
      </c>
      <c r="I656" s="302">
        <v>0.10570338435453709</v>
      </c>
      <c r="J656" s="302">
        <f t="shared" ref="J656:J658" si="288">SUM(G656:I656)</f>
        <v>1.6086127805425836</v>
      </c>
      <c r="K656" s="303"/>
      <c r="L656" s="302">
        <v>1.5216481222536842</v>
      </c>
      <c r="M656" s="302">
        <v>0.42917742969943856</v>
      </c>
      <c r="N656" s="302">
        <v>8.1705333756123849E-2</v>
      </c>
      <c r="O656" s="302">
        <f t="shared" ref="O656:O663" si="289">SUM(L656:N656)</f>
        <v>2.0325308857092468</v>
      </c>
    </row>
    <row r="657" spans="1:15" s="236" customFormat="1" x14ac:dyDescent="0.2">
      <c r="A657" s="237" t="str">
        <f>name!E$6</f>
        <v>Associate professional occupations</v>
      </c>
      <c r="B657" s="302">
        <v>1.3240586399157306</v>
      </c>
      <c r="C657" s="302">
        <v>0.22377546905835055</v>
      </c>
      <c r="D657" s="302">
        <v>9.0859694871796001E-2</v>
      </c>
      <c r="E657" s="302">
        <f t="shared" si="287"/>
        <v>1.6386938038458772</v>
      </c>
      <c r="F657" s="303"/>
      <c r="G657" s="302">
        <v>1.1718424061367509</v>
      </c>
      <c r="H657" s="302">
        <v>0.34350735700815072</v>
      </c>
      <c r="I657" s="302">
        <v>7.6252403920152992E-2</v>
      </c>
      <c r="J657" s="302">
        <f t="shared" si="288"/>
        <v>1.5916021670650546</v>
      </c>
      <c r="K657" s="303"/>
      <c r="L657" s="302">
        <v>1.2069305529503038</v>
      </c>
      <c r="M657" s="302">
        <v>0.45157313019807632</v>
      </c>
      <c r="N657" s="302">
        <v>6.388691983520263E-2</v>
      </c>
      <c r="O657" s="302">
        <f t="shared" si="289"/>
        <v>1.7223906029835827</v>
      </c>
    </row>
    <row r="658" spans="1:15" s="236" customFormat="1" x14ac:dyDescent="0.2">
      <c r="A658" s="237" t="str">
        <f>name!E$7</f>
        <v>Administrative and secretarial occupations</v>
      </c>
      <c r="B658" s="302">
        <v>2.7400423012585109</v>
      </c>
      <c r="C658" s="302">
        <v>2.0870139870053332</v>
      </c>
      <c r="D658" s="302">
        <v>6.2085424636703551E-2</v>
      </c>
      <c r="E658" s="302">
        <f t="shared" si="287"/>
        <v>4.889141712900547</v>
      </c>
      <c r="F658" s="303"/>
      <c r="G658" s="302">
        <v>2.2433163009791954</v>
      </c>
      <c r="H658" s="302">
        <v>2.794131460777963</v>
      </c>
      <c r="I658" s="302">
        <v>4.571975504780363E-2</v>
      </c>
      <c r="J658" s="302">
        <f t="shared" si="288"/>
        <v>5.0831675168049628</v>
      </c>
      <c r="K658" s="303"/>
      <c r="L658" s="302">
        <v>2.1462445133540933</v>
      </c>
      <c r="M658" s="302">
        <v>2.9502916213740558</v>
      </c>
      <c r="N658" s="302">
        <v>4.0971614272079612E-2</v>
      </c>
      <c r="O658" s="302">
        <f t="shared" si="289"/>
        <v>5.1375077490002283</v>
      </c>
    </row>
    <row r="659" spans="1:15" s="236" customFormat="1" x14ac:dyDescent="0.2">
      <c r="A659" s="237" t="str">
        <f>name!E$8</f>
        <v>Skilled trades occupations</v>
      </c>
      <c r="B659" s="302">
        <v>0.57850833374071597</v>
      </c>
      <c r="C659" s="302">
        <v>0.92102285230601399</v>
      </c>
      <c r="D659" s="302">
        <v>0.47638582647474687</v>
      </c>
      <c r="E659" s="302">
        <f t="shared" si="287"/>
        <v>1.9759170125214769</v>
      </c>
      <c r="F659" s="303"/>
      <c r="G659" s="302">
        <v>0.33092345236761617</v>
      </c>
      <c r="H659" s="302">
        <v>0.8313850509255577</v>
      </c>
      <c r="I659" s="302">
        <v>0.36764073719214629</v>
      </c>
      <c r="J659" s="302">
        <f>SUM(G659:I659)</f>
        <v>1.5299492404853203</v>
      </c>
      <c r="K659" s="303"/>
      <c r="L659" s="302">
        <v>0.45071579649805427</v>
      </c>
      <c r="M659" s="302">
        <v>1.0407519350664791</v>
      </c>
      <c r="N659" s="302">
        <v>0.29921776975118269</v>
      </c>
      <c r="O659" s="302">
        <f t="shared" si="289"/>
        <v>1.7906855013157161</v>
      </c>
    </row>
    <row r="660" spans="1:15" s="236" customFormat="1" x14ac:dyDescent="0.2">
      <c r="A660" s="237" t="str">
        <f>name!E$9</f>
        <v>Caring, leisure and other service occupations</v>
      </c>
      <c r="B660" s="302">
        <v>0.50956563090696361</v>
      </c>
      <c r="C660" s="302">
        <v>0.28837451664560865</v>
      </c>
      <c r="D660" s="302">
        <v>5.7853845864353659E-2</v>
      </c>
      <c r="E660" s="302">
        <f t="shared" si="287"/>
        <v>0.85579399341692586</v>
      </c>
      <c r="F660" s="303"/>
      <c r="G660" s="302">
        <v>0.36237150692232634</v>
      </c>
      <c r="H660" s="302">
        <v>0.35464373168641095</v>
      </c>
      <c r="I660" s="302">
        <v>6.5152590930791551E-2</v>
      </c>
      <c r="J660" s="302">
        <f t="shared" ref="J660:J663" si="290">SUM(G660:I660)</f>
        <v>0.78216782953952879</v>
      </c>
      <c r="K660" s="303"/>
      <c r="L660" s="302">
        <v>0.51063846393890922</v>
      </c>
      <c r="M660" s="302">
        <v>0.39436445592969016</v>
      </c>
      <c r="N660" s="302">
        <v>7.9847050702011868E-2</v>
      </c>
      <c r="O660" s="302">
        <f t="shared" si="289"/>
        <v>0.9848499705706113</v>
      </c>
    </row>
    <row r="661" spans="1:15" s="236" customFormat="1" x14ac:dyDescent="0.2">
      <c r="A661" s="237" t="str">
        <f>name!E$10</f>
        <v>Sales and customer service occupations</v>
      </c>
      <c r="B661" s="302">
        <v>1.0625609174441686</v>
      </c>
      <c r="C661" s="302">
        <v>0.56833062355167341</v>
      </c>
      <c r="D661" s="302">
        <v>4.8236936505247255E-2</v>
      </c>
      <c r="E661" s="302">
        <f t="shared" si="287"/>
        <v>1.6791284775010893</v>
      </c>
      <c r="F661" s="303"/>
      <c r="G661" s="302">
        <v>0.84778761248523549</v>
      </c>
      <c r="H661" s="302">
        <v>0.73917740477255867</v>
      </c>
      <c r="I661" s="302">
        <v>3.1278228424383984E-2</v>
      </c>
      <c r="J661" s="302">
        <f t="shared" si="290"/>
        <v>1.618243245682178</v>
      </c>
      <c r="K661" s="303"/>
      <c r="L661" s="302">
        <v>1.0150171997782094</v>
      </c>
      <c r="M661" s="302">
        <v>1.0207791979288277</v>
      </c>
      <c r="N661" s="302">
        <v>2.557734682872553E-2</v>
      </c>
      <c r="O661" s="302">
        <f t="shared" si="289"/>
        <v>2.0613737445357625</v>
      </c>
    </row>
    <row r="662" spans="1:15" s="236" customFormat="1" x14ac:dyDescent="0.2">
      <c r="A662" s="237" t="str">
        <f>name!E$11</f>
        <v>Process, plant and machine operatives</v>
      </c>
      <c r="B662" s="302">
        <v>2.3111701222185719</v>
      </c>
      <c r="C662" s="302">
        <v>0.34466130109202464</v>
      </c>
      <c r="D662" s="302">
        <v>0.4533688794783432</v>
      </c>
      <c r="E662" s="302">
        <f t="shared" si="287"/>
        <v>3.1092003027889397</v>
      </c>
      <c r="F662" s="303"/>
      <c r="G662" s="302">
        <v>1.3348610783035098</v>
      </c>
      <c r="H662" s="302">
        <v>0.43086558741694891</v>
      </c>
      <c r="I662" s="302">
        <v>0.46878038931231553</v>
      </c>
      <c r="J662" s="302">
        <f t="shared" si="290"/>
        <v>2.2345070550327741</v>
      </c>
      <c r="K662" s="303"/>
      <c r="L662" s="302">
        <v>1.4263351711852148</v>
      </c>
      <c r="M662" s="302">
        <v>0.69309867110042989</v>
      </c>
      <c r="N662" s="302">
        <v>0.44853029347539741</v>
      </c>
      <c r="O662" s="302">
        <f t="shared" si="289"/>
        <v>2.5679641357610423</v>
      </c>
    </row>
    <row r="663" spans="1:15" s="236" customFormat="1" x14ac:dyDescent="0.2">
      <c r="A663" s="237" t="str">
        <f>name!E$12</f>
        <v>Elementary occupations</v>
      </c>
      <c r="B663" s="302">
        <v>7.5967392186024121</v>
      </c>
      <c r="C663" s="302">
        <v>3.0088533014178367</v>
      </c>
      <c r="D663" s="302">
        <v>0.33092176719586758</v>
      </c>
      <c r="E663" s="302">
        <f t="shared" si="287"/>
        <v>10.936514287216117</v>
      </c>
      <c r="F663" s="303"/>
      <c r="G663" s="302">
        <v>4.723191430008292</v>
      </c>
      <c r="H663" s="302">
        <v>2.9975320682112634</v>
      </c>
      <c r="I663" s="302">
        <v>0.27197529313280511</v>
      </c>
      <c r="J663" s="302">
        <f t="shared" si="290"/>
        <v>7.9926987913523613</v>
      </c>
      <c r="K663" s="303"/>
      <c r="L663" s="302">
        <v>4.4049759021847139</v>
      </c>
      <c r="M663" s="302">
        <v>2.8647722722916025</v>
      </c>
      <c r="N663" s="302">
        <v>0.31460778709623621</v>
      </c>
      <c r="O663" s="302">
        <f t="shared" si="289"/>
        <v>7.5843559615725518</v>
      </c>
    </row>
    <row r="664" spans="1:15" s="236" customFormat="1" x14ac:dyDescent="0.2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2">
      <c r="A665" s="244" t="s">
        <v>32</v>
      </c>
      <c r="B665" s="311">
        <f>SUM(B655:B663)</f>
        <v>19.299999999970801</v>
      </c>
      <c r="C665" s="311">
        <f t="shared" ref="C665:E665" si="291">SUM(C655:C663)</f>
        <v>7.7220000000361271</v>
      </c>
      <c r="D665" s="311">
        <f t="shared" si="291"/>
        <v>1.9970000000072183</v>
      </c>
      <c r="E665" s="311">
        <f t="shared" si="291"/>
        <v>29.019000000014145</v>
      </c>
      <c r="F665" s="311"/>
      <c r="G665" s="311">
        <f t="shared" ref="G665:J665" si="292">SUM(G655:G663)</f>
        <v>14.017000000105579</v>
      </c>
      <c r="H665" s="311">
        <f t="shared" si="292"/>
        <v>9.0490000001979691</v>
      </c>
      <c r="I665" s="311">
        <f t="shared" si="292"/>
        <v>1.8150000000197553</v>
      </c>
      <c r="J665" s="311">
        <f t="shared" si="292"/>
        <v>24.881000000323304</v>
      </c>
      <c r="K665" s="311"/>
      <c r="L665" s="311">
        <f t="shared" ref="L665:O665" si="293">SUM(L655:L663)</f>
        <v>14.817000000134936</v>
      </c>
      <c r="M665" s="311">
        <f t="shared" si="293"/>
        <v>10.275999999946912</v>
      </c>
      <c r="N665" s="311">
        <f t="shared" si="293"/>
        <v>1.6440000000270292</v>
      </c>
      <c r="O665" s="311">
        <f t="shared" si="293"/>
        <v>26.737000000108875</v>
      </c>
    </row>
    <row r="666" spans="1:15" s="236" customFormat="1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2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2">
      <c r="A669" s="241" t="str">
        <f>name!A42</f>
        <v>Accommodation</v>
      </c>
      <c r="B669" s="374">
        <f>$B$6</f>
        <v>2015</v>
      </c>
      <c r="C669" s="374"/>
      <c r="D669" s="374"/>
      <c r="E669" s="374"/>
      <c r="F669" s="263"/>
      <c r="G669" s="374">
        <f>$G$6</f>
        <v>2020</v>
      </c>
      <c r="H669" s="374"/>
      <c r="I669" s="374"/>
      <c r="J669" s="374"/>
      <c r="K669" s="263"/>
      <c r="L669" s="374">
        <f>$L$6</f>
        <v>2035</v>
      </c>
      <c r="M669" s="374"/>
      <c r="N669" s="374"/>
      <c r="O669" s="374"/>
    </row>
    <row r="670" spans="1:15" s="236" customFormat="1" x14ac:dyDescent="0.2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2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2">
      <c r="A672" s="237" t="str">
        <f>name!E$4</f>
        <v>Managers, directors and senior officials</v>
      </c>
      <c r="B672" s="302">
        <v>7.7112716523154585</v>
      </c>
      <c r="C672" s="302">
        <v>0.32005972465158444</v>
      </c>
      <c r="D672" s="302">
        <v>5.0149500372988784</v>
      </c>
      <c r="E672" s="302">
        <f>SUM(B672:D672)</f>
        <v>13.04628141426592</v>
      </c>
      <c r="F672" s="303"/>
      <c r="G672" s="302">
        <v>8.0438702762503667</v>
      </c>
      <c r="H672" s="302">
        <v>0.70649453577419064</v>
      </c>
      <c r="I672" s="302">
        <v>5.8529664923248399</v>
      </c>
      <c r="J672" s="302">
        <f>SUM(G672:I672)</f>
        <v>14.603331304349396</v>
      </c>
      <c r="K672" s="303"/>
      <c r="L672" s="302">
        <v>10.693657020058211</v>
      </c>
      <c r="M672" s="302">
        <v>1.324991331189908</v>
      </c>
      <c r="N672" s="302">
        <v>8.0353304666501053</v>
      </c>
      <c r="O672" s="302">
        <f>SUM(L672:N672)</f>
        <v>20.053978817898226</v>
      </c>
    </row>
    <row r="673" spans="1:15" s="236" customFormat="1" x14ac:dyDescent="0.2">
      <c r="A673" s="237" t="str">
        <f>name!E$5</f>
        <v>Professional occupations</v>
      </c>
      <c r="B673" s="302">
        <v>2.2454057031973105</v>
      </c>
      <c r="C673" s="302">
        <v>0.13731703755435798</v>
      </c>
      <c r="D673" s="302">
        <v>0.34007610376865788</v>
      </c>
      <c r="E673" s="302">
        <f t="shared" ref="E673:E680" si="294">SUM(B673:D673)</f>
        <v>2.7227988445203262</v>
      </c>
      <c r="F673" s="303"/>
      <c r="G673" s="302">
        <v>2.7357397596375979</v>
      </c>
      <c r="H673" s="302">
        <v>0.30314723984061004</v>
      </c>
      <c r="I673" s="302">
        <v>0.39861953548490137</v>
      </c>
      <c r="J673" s="302">
        <f t="shared" ref="J673:J675" si="295">SUM(G673:I673)</f>
        <v>3.4375065349631093</v>
      </c>
      <c r="K673" s="303"/>
      <c r="L673" s="302">
        <v>3.4052698676587778</v>
      </c>
      <c r="M673" s="302">
        <v>0.4858326739715883</v>
      </c>
      <c r="N673" s="302">
        <v>0.26786044990552443</v>
      </c>
      <c r="O673" s="302">
        <f t="shared" ref="O673:O680" si="296">SUM(L673:N673)</f>
        <v>4.1589629915358906</v>
      </c>
    </row>
    <row r="674" spans="1:15" s="236" customFormat="1" x14ac:dyDescent="0.2">
      <c r="A674" s="237" t="str">
        <f>name!E$6</f>
        <v>Associate professional occupations</v>
      </c>
      <c r="B674" s="302">
        <v>1.8566852476170841</v>
      </c>
      <c r="C674" s="302">
        <v>0.37451407287183935</v>
      </c>
      <c r="D674" s="302">
        <v>0.24413730451921151</v>
      </c>
      <c r="E674" s="302">
        <f t="shared" si="294"/>
        <v>2.475336625008135</v>
      </c>
      <c r="F674" s="303"/>
      <c r="G674" s="302">
        <v>2.0409688491608944</v>
      </c>
      <c r="H674" s="302">
        <v>0.62508311793181359</v>
      </c>
      <c r="I674" s="302">
        <v>0.22981955493229037</v>
      </c>
      <c r="J674" s="302">
        <f t="shared" si="295"/>
        <v>2.8958715220249984</v>
      </c>
      <c r="K674" s="303"/>
      <c r="L674" s="302">
        <v>2.2814284890250436</v>
      </c>
      <c r="M674" s="302">
        <v>0.9496508720819713</v>
      </c>
      <c r="N674" s="302">
        <v>0.19859172041894216</v>
      </c>
      <c r="O674" s="302">
        <f t="shared" si="296"/>
        <v>3.429671081525957</v>
      </c>
    </row>
    <row r="675" spans="1:15" s="236" customFormat="1" x14ac:dyDescent="0.2">
      <c r="A675" s="237" t="str">
        <f>name!E$7</f>
        <v>Administrative and secretarial occupations</v>
      </c>
      <c r="B675" s="302">
        <v>3.471729461152135</v>
      </c>
      <c r="C675" s="302">
        <v>0.81102883523754077</v>
      </c>
      <c r="D675" s="302">
        <v>0.13149218545291344</v>
      </c>
      <c r="E675" s="302">
        <f t="shared" si="294"/>
        <v>4.4142504818425889</v>
      </c>
      <c r="F675" s="303"/>
      <c r="G675" s="302">
        <v>3.1256496084493839</v>
      </c>
      <c r="H675" s="302">
        <v>1.1632224719820323</v>
      </c>
      <c r="I675" s="302">
        <v>0.13063825026614784</v>
      </c>
      <c r="J675" s="302">
        <f t="shared" si="295"/>
        <v>4.4195103306975634</v>
      </c>
      <c r="K675" s="303"/>
      <c r="L675" s="302">
        <v>3.8550375872769092</v>
      </c>
      <c r="M675" s="302">
        <v>1.9089630656018239</v>
      </c>
      <c r="N675" s="302">
        <v>0.12596104419176948</v>
      </c>
      <c r="O675" s="302">
        <f t="shared" si="296"/>
        <v>5.8899616970705031</v>
      </c>
    </row>
    <row r="676" spans="1:15" s="236" customFormat="1" x14ac:dyDescent="0.2">
      <c r="A676" s="237" t="str">
        <f>name!E$8</f>
        <v>Skilled trades occupations</v>
      </c>
      <c r="B676" s="302">
        <v>5.5563801120989833</v>
      </c>
      <c r="C676" s="302">
        <v>1.6146881624226983</v>
      </c>
      <c r="D676" s="302">
        <v>1.4287856451640415</v>
      </c>
      <c r="E676" s="302">
        <f t="shared" si="294"/>
        <v>8.5998539196857227</v>
      </c>
      <c r="F676" s="303"/>
      <c r="G676" s="302">
        <v>4.0367335296875595</v>
      </c>
      <c r="H676" s="302">
        <v>1.9009647063088708</v>
      </c>
      <c r="I676" s="302">
        <v>1.6806334128349751</v>
      </c>
      <c r="J676" s="302">
        <f>SUM(G676:I676)</f>
        <v>7.6183316488314059</v>
      </c>
      <c r="K676" s="303"/>
      <c r="L676" s="302">
        <v>3.3949839952080429</v>
      </c>
      <c r="M676" s="302">
        <v>2.1266978716984908</v>
      </c>
      <c r="N676" s="302">
        <v>2.3357868976567597</v>
      </c>
      <c r="O676" s="302">
        <f t="shared" si="296"/>
        <v>7.8574687645632935</v>
      </c>
    </row>
    <row r="677" spans="1:15" s="236" customFormat="1" x14ac:dyDescent="0.2">
      <c r="A677" s="237" t="str">
        <f>name!E$9</f>
        <v>Caring, leisure and other service occupations</v>
      </c>
      <c r="B677" s="302">
        <v>1.8810817386808403</v>
      </c>
      <c r="C677" s="302">
        <v>0.92069833697977954</v>
      </c>
      <c r="D677" s="302">
        <v>0.44102180279977332</v>
      </c>
      <c r="E677" s="302">
        <f t="shared" si="294"/>
        <v>3.2428018784603934</v>
      </c>
      <c r="F677" s="303"/>
      <c r="G677" s="302">
        <v>1.5450784248194591</v>
      </c>
      <c r="H677" s="302">
        <v>1.155432500494108</v>
      </c>
      <c r="I677" s="302">
        <v>0.58764605209319498</v>
      </c>
      <c r="J677" s="302">
        <f t="shared" ref="J677:J680" si="297">SUM(G677:I677)</f>
        <v>3.288156977406762</v>
      </c>
      <c r="K677" s="303"/>
      <c r="L677" s="302">
        <v>1.8688925920774799</v>
      </c>
      <c r="M677" s="302">
        <v>1.6168335862280168</v>
      </c>
      <c r="N677" s="302">
        <v>0.9929310605510504</v>
      </c>
      <c r="O677" s="302">
        <f t="shared" si="296"/>
        <v>4.4786572388565471</v>
      </c>
    </row>
    <row r="678" spans="1:15" s="236" customFormat="1" x14ac:dyDescent="0.2">
      <c r="A678" s="237" t="str">
        <f>name!E$10</f>
        <v>Sales and customer service occupations</v>
      </c>
      <c r="B678" s="302">
        <v>2.3234001901558861</v>
      </c>
      <c r="C678" s="302">
        <v>2.3850777360586002</v>
      </c>
      <c r="D678" s="302">
        <v>1.840364566333311</v>
      </c>
      <c r="E678" s="302">
        <f t="shared" si="294"/>
        <v>6.5488424925477977</v>
      </c>
      <c r="F678" s="303"/>
      <c r="G678" s="302">
        <v>2.1003304767028164</v>
      </c>
      <c r="H678" s="302">
        <v>3.3792147329946363</v>
      </c>
      <c r="I678" s="302">
        <v>1.4712654120795206</v>
      </c>
      <c r="J678" s="302">
        <f t="shared" si="297"/>
        <v>6.9508106217769727</v>
      </c>
      <c r="K678" s="303"/>
      <c r="L678" s="302">
        <v>2.9822692947997838</v>
      </c>
      <c r="M678" s="302">
        <v>5.2601330368409576</v>
      </c>
      <c r="N678" s="302">
        <v>1.2769216590902714</v>
      </c>
      <c r="O678" s="302">
        <f t="shared" si="296"/>
        <v>9.5193239907310137</v>
      </c>
    </row>
    <row r="679" spans="1:15" s="236" customFormat="1" x14ac:dyDescent="0.2">
      <c r="A679" s="237" t="str">
        <f>name!E$11</f>
        <v>Process, plant and machine operatives</v>
      </c>
      <c r="B679" s="302">
        <v>0.94529413032818188</v>
      </c>
      <c r="C679" s="302">
        <v>0.55714304844191209</v>
      </c>
      <c r="D679" s="302">
        <v>7.0444733979895188E-2</v>
      </c>
      <c r="E679" s="302">
        <f t="shared" si="294"/>
        <v>1.5728819127499891</v>
      </c>
      <c r="F679" s="303"/>
      <c r="G679" s="302">
        <v>0.67652325284306136</v>
      </c>
      <c r="H679" s="302">
        <v>0.91281442306780836</v>
      </c>
      <c r="I679" s="302">
        <v>8.0487860404800798E-2</v>
      </c>
      <c r="J679" s="302">
        <f t="shared" si="297"/>
        <v>1.6698255363156704</v>
      </c>
      <c r="K679" s="303"/>
      <c r="L679" s="302">
        <v>0.83072390064437074</v>
      </c>
      <c r="M679" s="302">
        <v>1.9541221396289152</v>
      </c>
      <c r="N679" s="302">
        <v>0.1198978222872127</v>
      </c>
      <c r="O679" s="302">
        <f t="shared" si="296"/>
        <v>2.9047438625604989</v>
      </c>
    </row>
    <row r="680" spans="1:15" s="236" customFormat="1" x14ac:dyDescent="0.2">
      <c r="A680" s="237" t="str">
        <f>name!E$12</f>
        <v>Elementary occupations</v>
      </c>
      <c r="B680" s="302">
        <v>7.0277517641820895</v>
      </c>
      <c r="C680" s="302">
        <v>14.887473045992238</v>
      </c>
      <c r="D680" s="302">
        <v>0.17472762081946377</v>
      </c>
      <c r="E680" s="302">
        <f t="shared" si="294"/>
        <v>22.08995243099379</v>
      </c>
      <c r="F680" s="303"/>
      <c r="G680" s="302">
        <v>5.5631058224882963</v>
      </c>
      <c r="H680" s="302">
        <v>18.031626272366921</v>
      </c>
      <c r="I680" s="302">
        <v>0.13492342951622449</v>
      </c>
      <c r="J680" s="302">
        <f t="shared" si="297"/>
        <v>23.729655524371442</v>
      </c>
      <c r="K680" s="303"/>
      <c r="L680" s="302">
        <v>6.764737253081174</v>
      </c>
      <c r="M680" s="302">
        <v>21.300775422429407</v>
      </c>
      <c r="N680" s="302">
        <v>0.20671887919623824</v>
      </c>
      <c r="O680" s="302">
        <f t="shared" si="296"/>
        <v>28.272231554706821</v>
      </c>
    </row>
    <row r="681" spans="1:15" s="236" customFormat="1" x14ac:dyDescent="0.2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2">
      <c r="A682" s="244" t="s">
        <v>32</v>
      </c>
      <c r="B682" s="311">
        <f>SUM(B672:B680)</f>
        <v>33.018999999727974</v>
      </c>
      <c r="C682" s="311">
        <f t="shared" ref="C682:E682" si="298">SUM(C672:C680)</f>
        <v>22.008000000210551</v>
      </c>
      <c r="D682" s="311">
        <f t="shared" si="298"/>
        <v>9.686000000136147</v>
      </c>
      <c r="E682" s="311">
        <f t="shared" si="298"/>
        <v>64.713000000074658</v>
      </c>
      <c r="F682" s="311"/>
      <c r="G682" s="311">
        <f t="shared" ref="G682:J682" si="299">SUM(G672:G680)</f>
        <v>29.868000000039434</v>
      </c>
      <c r="H682" s="311">
        <f t="shared" si="299"/>
        <v>28.178000000760992</v>
      </c>
      <c r="I682" s="311">
        <f t="shared" si="299"/>
        <v>10.566999999936897</v>
      </c>
      <c r="J682" s="311">
        <f t="shared" si="299"/>
        <v>68.613000000737316</v>
      </c>
      <c r="K682" s="311"/>
      <c r="L682" s="311">
        <f t="shared" ref="L682:O682" si="300">SUM(L672:L680)</f>
        <v>36.076999999829795</v>
      </c>
      <c r="M682" s="311">
        <f t="shared" si="300"/>
        <v>36.92799999967108</v>
      </c>
      <c r="N682" s="311">
        <f t="shared" si="300"/>
        <v>13.559999999947875</v>
      </c>
      <c r="O682" s="311">
        <f t="shared" si="300"/>
        <v>86.564999999448759</v>
      </c>
    </row>
    <row r="683" spans="1:15" s="236" customFormat="1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2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2">
      <c r="A686" s="241" t="str">
        <f>name!A43</f>
        <v>Food and beverage services</v>
      </c>
      <c r="B686" s="374">
        <f>$B$6</f>
        <v>2015</v>
      </c>
      <c r="C686" s="374"/>
      <c r="D686" s="374"/>
      <c r="E686" s="374"/>
      <c r="F686" s="263"/>
      <c r="G686" s="374">
        <f>$G$6</f>
        <v>2020</v>
      </c>
      <c r="H686" s="374"/>
      <c r="I686" s="374"/>
      <c r="J686" s="374"/>
      <c r="K686" s="263"/>
      <c r="L686" s="374">
        <f>$L$6</f>
        <v>2035</v>
      </c>
      <c r="M686" s="374"/>
      <c r="N686" s="374"/>
      <c r="O686" s="374"/>
    </row>
    <row r="687" spans="1:15" s="236" customFormat="1" x14ac:dyDescent="0.2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2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2">
      <c r="A689" s="237" t="str">
        <f>name!E$4</f>
        <v>Managers, directors and senior officials</v>
      </c>
      <c r="B689" s="302">
        <v>14.346354308477391</v>
      </c>
      <c r="C689" s="302">
        <v>1.1286117547886798</v>
      </c>
      <c r="D689" s="302">
        <v>8.5332503337312495</v>
      </c>
      <c r="E689" s="302">
        <f>SUM(B689:D689)</f>
        <v>24.008216396997319</v>
      </c>
      <c r="F689" s="303"/>
      <c r="G689" s="302">
        <v>16.860884442896079</v>
      </c>
      <c r="H689" s="302">
        <v>2.7191932942723698</v>
      </c>
      <c r="I689" s="302">
        <v>8.630528477551012</v>
      </c>
      <c r="J689" s="302">
        <f>SUM(G689:I689)</f>
        <v>28.210606214719462</v>
      </c>
      <c r="K689" s="303"/>
      <c r="L689" s="302">
        <v>23.000999647757297</v>
      </c>
      <c r="M689" s="302">
        <v>4.9840713343932199</v>
      </c>
      <c r="N689" s="302">
        <v>11.371853485571924</v>
      </c>
      <c r="O689" s="302">
        <f>SUM(L689:N689)</f>
        <v>39.356924467722443</v>
      </c>
    </row>
    <row r="690" spans="1:15" s="236" customFormat="1" x14ac:dyDescent="0.2">
      <c r="A690" s="237" t="str">
        <f>name!E$5</f>
        <v>Professional occupations</v>
      </c>
      <c r="B690" s="302">
        <v>4.1030443024471319</v>
      </c>
      <c r="C690" s="302">
        <v>0.45367990811523068</v>
      </c>
      <c r="D690" s="302">
        <v>0.61961969788890547</v>
      </c>
      <c r="E690" s="302">
        <f t="shared" ref="E690:E697" si="301">SUM(B690:D690)</f>
        <v>5.1763439084512672</v>
      </c>
      <c r="F690" s="303"/>
      <c r="G690" s="302">
        <v>5.667548984395018</v>
      </c>
      <c r="H690" s="302">
        <v>1.1242013761261587</v>
      </c>
      <c r="I690" s="302">
        <v>0.60158245954173273</v>
      </c>
      <c r="J690" s="302">
        <f t="shared" ref="J690:J692" si="302">SUM(G690:I690)</f>
        <v>7.3933328200629091</v>
      </c>
      <c r="K690" s="303"/>
      <c r="L690" s="302">
        <v>7.209089064294095</v>
      </c>
      <c r="M690" s="302">
        <v>1.6519023746709436</v>
      </c>
      <c r="N690" s="302">
        <v>0.39492117947616567</v>
      </c>
      <c r="O690" s="302">
        <f t="shared" ref="O690:O697" si="303">SUM(L690:N690)</f>
        <v>9.2559126184412044</v>
      </c>
    </row>
    <row r="691" spans="1:15" s="236" customFormat="1" x14ac:dyDescent="0.2">
      <c r="A691" s="237" t="str">
        <f>name!E$6</f>
        <v>Associate professional occupations</v>
      </c>
      <c r="B691" s="302">
        <v>3.369129281924792</v>
      </c>
      <c r="C691" s="302">
        <v>1.2270854694612721</v>
      </c>
      <c r="D691" s="302">
        <v>0.40337044967579061</v>
      </c>
      <c r="E691" s="302">
        <f t="shared" si="301"/>
        <v>4.9995852010618549</v>
      </c>
      <c r="F691" s="303"/>
      <c r="G691" s="302">
        <v>4.2074539975907879</v>
      </c>
      <c r="H691" s="302">
        <v>2.2633036824537709</v>
      </c>
      <c r="I691" s="302">
        <v>0.33990928796702619</v>
      </c>
      <c r="J691" s="302">
        <f t="shared" si="302"/>
        <v>6.8106669680115841</v>
      </c>
      <c r="K691" s="303"/>
      <c r="L691" s="302">
        <v>4.7683839845232141</v>
      </c>
      <c r="M691" s="302">
        <v>3.0732190711610063</v>
      </c>
      <c r="N691" s="302">
        <v>0.27880375444174921</v>
      </c>
      <c r="O691" s="302">
        <f t="shared" si="303"/>
        <v>8.1204068101259708</v>
      </c>
    </row>
    <row r="692" spans="1:15" s="236" customFormat="1" x14ac:dyDescent="0.2">
      <c r="A692" s="237" t="str">
        <f>name!E$7</f>
        <v>Administrative and secretarial occupations</v>
      </c>
      <c r="B692" s="302">
        <v>6.1234534284829039</v>
      </c>
      <c r="C692" s="302">
        <v>2.4741089259707283</v>
      </c>
      <c r="D692" s="302">
        <v>0.2331510000239792</v>
      </c>
      <c r="E692" s="302">
        <f t="shared" si="301"/>
        <v>8.8307133544776111</v>
      </c>
      <c r="F692" s="303"/>
      <c r="G692" s="302">
        <v>6.3553344983930398</v>
      </c>
      <c r="H692" s="302">
        <v>3.8938126110755538</v>
      </c>
      <c r="I692" s="302">
        <v>0.19554722384165968</v>
      </c>
      <c r="J692" s="302">
        <f t="shared" si="302"/>
        <v>10.444694333310252</v>
      </c>
      <c r="K692" s="303"/>
      <c r="L692" s="302">
        <v>8.0785747992745929</v>
      </c>
      <c r="M692" s="302">
        <v>5.58001713168143</v>
      </c>
      <c r="N692" s="302">
        <v>0.18874483919385632</v>
      </c>
      <c r="O692" s="302">
        <f t="shared" si="303"/>
        <v>13.847336770149878</v>
      </c>
    </row>
    <row r="693" spans="1:15" s="236" customFormat="1" x14ac:dyDescent="0.2">
      <c r="A693" s="237" t="str">
        <f>name!E$8</f>
        <v>Skilled trades occupations</v>
      </c>
      <c r="B693" s="302">
        <v>10.214172848833538</v>
      </c>
      <c r="C693" s="302">
        <v>6.2647587511085634</v>
      </c>
      <c r="D693" s="302">
        <v>2.3958262822467944</v>
      </c>
      <c r="E693" s="302">
        <f t="shared" si="301"/>
        <v>18.874757882188895</v>
      </c>
      <c r="F693" s="303"/>
      <c r="G693" s="302">
        <v>8.3610389331320469</v>
      </c>
      <c r="H693" s="302">
        <v>7.8034518206063286</v>
      </c>
      <c r="I693" s="302">
        <v>2.4844804112792933</v>
      </c>
      <c r="J693" s="302">
        <f>SUM(G693:I693)</f>
        <v>18.64897116501767</v>
      </c>
      <c r="K693" s="303"/>
      <c r="L693" s="302">
        <v>7.1834047391032723</v>
      </c>
      <c r="M693" s="302">
        <v>7.9899451203767748</v>
      </c>
      <c r="N693" s="302">
        <v>3.2587886239133117</v>
      </c>
      <c r="O693" s="302">
        <f t="shared" si="303"/>
        <v>18.432138483393359</v>
      </c>
    </row>
    <row r="694" spans="1:15" s="236" customFormat="1" x14ac:dyDescent="0.2">
      <c r="A694" s="237" t="str">
        <f>name!E$9</f>
        <v>Caring, leisure and other service occupations</v>
      </c>
      <c r="B694" s="302">
        <v>3.216694081000111</v>
      </c>
      <c r="C694" s="302">
        <v>2.921946353816681</v>
      </c>
      <c r="D694" s="302">
        <v>0.64602694406872474</v>
      </c>
      <c r="E694" s="302">
        <f t="shared" si="301"/>
        <v>6.7846673788855165</v>
      </c>
      <c r="F694" s="303"/>
      <c r="G694" s="302">
        <v>3.0912700927123198</v>
      </c>
      <c r="H694" s="302">
        <v>4.0582632271899648</v>
      </c>
      <c r="I694" s="302">
        <v>0.83955956882966676</v>
      </c>
      <c r="J694" s="302">
        <f t="shared" ref="J694:J697" si="304">SUM(G694:I694)</f>
        <v>7.9890928887319506</v>
      </c>
      <c r="K694" s="303"/>
      <c r="L694" s="302">
        <v>3.7876354772621941</v>
      </c>
      <c r="M694" s="302">
        <v>5.0243783334738898</v>
      </c>
      <c r="N694" s="302">
        <v>1.3573102944900146</v>
      </c>
      <c r="O694" s="302">
        <f t="shared" si="303"/>
        <v>10.169324105226098</v>
      </c>
    </row>
    <row r="695" spans="1:15" s="236" customFormat="1" x14ac:dyDescent="0.2">
      <c r="A695" s="237" t="str">
        <f>name!E$10</f>
        <v>Sales and customer service occupations</v>
      </c>
      <c r="B695" s="302">
        <v>4.2504437367851349</v>
      </c>
      <c r="C695" s="302">
        <v>7.9310820181018151</v>
      </c>
      <c r="D695" s="302">
        <v>3.1771919269397251</v>
      </c>
      <c r="E695" s="302">
        <f t="shared" si="301"/>
        <v>15.358717681826676</v>
      </c>
      <c r="F695" s="303"/>
      <c r="G695" s="302">
        <v>4.3688492692782983</v>
      </c>
      <c r="H695" s="302">
        <v>12.269847283913039</v>
      </c>
      <c r="I695" s="302">
        <v>2.2136383049732595</v>
      </c>
      <c r="J695" s="302">
        <f t="shared" si="304"/>
        <v>18.852334858164596</v>
      </c>
      <c r="K695" s="303"/>
      <c r="L695" s="302">
        <v>6.4206310810222913</v>
      </c>
      <c r="M695" s="302">
        <v>16.714268648663818</v>
      </c>
      <c r="N695" s="302">
        <v>1.848798743805804</v>
      </c>
      <c r="O695" s="302">
        <f t="shared" si="303"/>
        <v>24.983698473491916</v>
      </c>
    </row>
    <row r="696" spans="1:15" s="236" customFormat="1" x14ac:dyDescent="0.2">
      <c r="A696" s="237" t="str">
        <f>name!E$11</f>
        <v>Process, plant and machine operatives</v>
      </c>
      <c r="B696" s="302">
        <v>1.7592182544572417</v>
      </c>
      <c r="C696" s="302">
        <v>2.3267100439370654</v>
      </c>
      <c r="D696" s="302">
        <v>0.15677178419245977</v>
      </c>
      <c r="E696" s="302">
        <f t="shared" si="301"/>
        <v>4.2427000825867669</v>
      </c>
      <c r="F696" s="303"/>
      <c r="G696" s="302">
        <v>1.4169118335978161</v>
      </c>
      <c r="H696" s="302">
        <v>4.1021695495817907</v>
      </c>
      <c r="I696" s="302">
        <v>0.13098904903055944</v>
      </c>
      <c r="J696" s="302">
        <f t="shared" si="304"/>
        <v>5.6500704322101667</v>
      </c>
      <c r="K696" s="303"/>
      <c r="L696" s="302">
        <v>1.7552198348745682</v>
      </c>
      <c r="M696" s="302">
        <v>7.6576546222633777</v>
      </c>
      <c r="N696" s="302">
        <v>0.18520060477642114</v>
      </c>
      <c r="O696" s="302">
        <f t="shared" si="303"/>
        <v>9.5980750619143667</v>
      </c>
    </row>
    <row r="697" spans="1:15" s="236" customFormat="1" x14ac:dyDescent="0.2">
      <c r="A697" s="237" t="str">
        <f>name!E$12</f>
        <v>Elementary occupations</v>
      </c>
      <c r="B697" s="302">
        <v>12.333489757139061</v>
      </c>
      <c r="C697" s="302">
        <v>50.974016775488124</v>
      </c>
      <c r="D697" s="302">
        <v>0.34579158147437861</v>
      </c>
      <c r="E697" s="302">
        <f t="shared" si="301"/>
        <v>63.653298114101567</v>
      </c>
      <c r="F697" s="303"/>
      <c r="G697" s="302">
        <v>11.237707948083454</v>
      </c>
      <c r="H697" s="302">
        <v>67.264757157327494</v>
      </c>
      <c r="I697" s="302">
        <v>0.21176521690730446</v>
      </c>
      <c r="J697" s="302">
        <f t="shared" si="304"/>
        <v>78.714230322318258</v>
      </c>
      <c r="K697" s="303"/>
      <c r="L697" s="302">
        <v>13.850061371540381</v>
      </c>
      <c r="M697" s="302">
        <v>71.905543362424368</v>
      </c>
      <c r="N697" s="302">
        <v>0.31657847427052976</v>
      </c>
      <c r="O697" s="302">
        <f t="shared" si="303"/>
        <v>86.072183208235273</v>
      </c>
    </row>
    <row r="698" spans="1:15" s="236" customFormat="1" x14ac:dyDescent="0.2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2">
      <c r="A699" s="244" t="s">
        <v>32</v>
      </c>
      <c r="B699" s="311">
        <f>SUM(B689:B697)</f>
        <v>59.715999999547307</v>
      </c>
      <c r="C699" s="311">
        <f t="shared" ref="C699:E699" si="305">SUM(C689:C697)</f>
        <v>75.702000000788161</v>
      </c>
      <c r="D699" s="311">
        <f t="shared" si="305"/>
        <v>16.51100000024201</v>
      </c>
      <c r="E699" s="311">
        <f t="shared" si="305"/>
        <v>151.92900000057747</v>
      </c>
      <c r="F699" s="311"/>
      <c r="G699" s="311">
        <f t="shared" ref="G699:J699" si="306">SUM(G689:G697)</f>
        <v>61.56700000007887</v>
      </c>
      <c r="H699" s="311">
        <f t="shared" si="306"/>
        <v>105.49900000254647</v>
      </c>
      <c r="I699" s="311">
        <f t="shared" si="306"/>
        <v>15.647999999921513</v>
      </c>
      <c r="J699" s="311">
        <f t="shared" si="306"/>
        <v>182.71400000254684</v>
      </c>
      <c r="K699" s="311"/>
      <c r="L699" s="311">
        <f t="shared" ref="L699:O699" si="307">SUM(L689:L697)</f>
        <v>76.053999999651907</v>
      </c>
      <c r="M699" s="311">
        <f t="shared" si="307"/>
        <v>124.58099999910883</v>
      </c>
      <c r="N699" s="311">
        <f t="shared" si="307"/>
        <v>19.200999999939775</v>
      </c>
      <c r="O699" s="311">
        <f t="shared" si="307"/>
        <v>219.83599999870052</v>
      </c>
    </row>
    <row r="700" spans="1:15" s="236" customFormat="1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2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2">
      <c r="A703" s="241" t="str">
        <f>name!A44</f>
        <v>Publishing activities</v>
      </c>
      <c r="B703" s="374">
        <f>$B$6</f>
        <v>2015</v>
      </c>
      <c r="C703" s="374"/>
      <c r="D703" s="374"/>
      <c r="E703" s="374"/>
      <c r="F703" s="263"/>
      <c r="G703" s="374">
        <f>$G$6</f>
        <v>2020</v>
      </c>
      <c r="H703" s="374"/>
      <c r="I703" s="374"/>
      <c r="J703" s="374"/>
      <c r="K703" s="263"/>
      <c r="L703" s="374">
        <f>$L$6</f>
        <v>2035</v>
      </c>
      <c r="M703" s="374"/>
      <c r="N703" s="374"/>
      <c r="O703" s="374"/>
    </row>
    <row r="704" spans="1:15" s="236" customFormat="1" x14ac:dyDescent="0.2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2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2">
      <c r="A706" s="237" t="str">
        <f>name!E$4</f>
        <v>Managers, directors and senior officials</v>
      </c>
      <c r="B706" s="302">
        <v>0.78802235898215212</v>
      </c>
      <c r="C706" s="302">
        <v>0.10827800690120941</v>
      </c>
      <c r="D706" s="302">
        <v>0.53865251252263535</v>
      </c>
      <c r="E706" s="302">
        <f>SUM(B706:D706)</f>
        <v>1.4349528784059968</v>
      </c>
      <c r="F706" s="303"/>
      <c r="G706" s="302">
        <v>1.0630267844130239</v>
      </c>
      <c r="H706" s="302">
        <v>0.39545407712206615</v>
      </c>
      <c r="I706" s="302">
        <v>0.55556330747071103</v>
      </c>
      <c r="J706" s="302">
        <f>SUM(G706:I706)</f>
        <v>2.0140441690058011</v>
      </c>
      <c r="K706" s="303"/>
      <c r="L706" s="302">
        <v>1.0149264749271758</v>
      </c>
      <c r="M706" s="302">
        <v>0.52564889290664341</v>
      </c>
      <c r="N706" s="302">
        <v>0.56070788550618167</v>
      </c>
      <c r="O706" s="302">
        <f>SUM(L706:N706)</f>
        <v>2.101283253340001</v>
      </c>
    </row>
    <row r="707" spans="1:15" s="236" customFormat="1" x14ac:dyDescent="0.2">
      <c r="A707" s="237" t="str">
        <f>name!E$5</f>
        <v>Professional occupations</v>
      </c>
      <c r="B707" s="302">
        <v>1.2044426280425826</v>
      </c>
      <c r="C707" s="302">
        <v>0.10670892122598921</v>
      </c>
      <c r="D707" s="302">
        <v>0.5534705628741069</v>
      </c>
      <c r="E707" s="302">
        <f t="shared" ref="E707:E714" si="308">SUM(B707:D707)</f>
        <v>1.8646221121426789</v>
      </c>
      <c r="F707" s="303"/>
      <c r="G707" s="302">
        <v>1.8326825932914208</v>
      </c>
      <c r="H707" s="302">
        <v>0.4129659877288327</v>
      </c>
      <c r="I707" s="302">
        <v>0.50774284325284291</v>
      </c>
      <c r="J707" s="302">
        <f t="shared" ref="J707:J709" si="309">SUM(G707:I707)</f>
        <v>2.7533914242730964</v>
      </c>
      <c r="K707" s="303"/>
      <c r="L707" s="302">
        <v>1.9998012479458467</v>
      </c>
      <c r="M707" s="302">
        <v>0.60811852492291452</v>
      </c>
      <c r="N707" s="302">
        <v>0.30417962976777402</v>
      </c>
      <c r="O707" s="302">
        <f t="shared" ref="O707:O714" si="310">SUM(L707:N707)</f>
        <v>2.9120994026365352</v>
      </c>
    </row>
    <row r="708" spans="1:15" s="236" customFormat="1" x14ac:dyDescent="0.2">
      <c r="A708" s="237" t="str">
        <f>name!E$6</f>
        <v>Associate professional occupations</v>
      </c>
      <c r="B708" s="302">
        <v>0.73345923218670184</v>
      </c>
      <c r="C708" s="302">
        <v>0.13433024168362664</v>
      </c>
      <c r="D708" s="302">
        <v>0.97571257997355754</v>
      </c>
      <c r="E708" s="302">
        <f t="shared" si="308"/>
        <v>1.843502053843886</v>
      </c>
      <c r="F708" s="303"/>
      <c r="G708" s="302">
        <v>0.99834066026800339</v>
      </c>
      <c r="H708" s="302">
        <v>0.41788881067400019</v>
      </c>
      <c r="I708" s="302">
        <v>1.4248070484371333</v>
      </c>
      <c r="J708" s="302">
        <f t="shared" si="309"/>
        <v>2.8410365193791369</v>
      </c>
      <c r="K708" s="303"/>
      <c r="L708" s="302">
        <v>0.92986633511870231</v>
      </c>
      <c r="M708" s="302">
        <v>0.37852292089460399</v>
      </c>
      <c r="N708" s="302">
        <v>1.2409031819032028</v>
      </c>
      <c r="O708" s="302">
        <f t="shared" si="310"/>
        <v>2.5492924379165092</v>
      </c>
    </row>
    <row r="709" spans="1:15" s="236" customFormat="1" x14ac:dyDescent="0.2">
      <c r="A709" s="237" t="str">
        <f>name!E$7</f>
        <v>Administrative and secretarial occupations</v>
      </c>
      <c r="B709" s="302">
        <v>0.34855908825037774</v>
      </c>
      <c r="C709" s="302">
        <v>0.14404138849575898</v>
      </c>
      <c r="D709" s="302">
        <v>9.4439411732700027E-2</v>
      </c>
      <c r="E709" s="302">
        <f t="shared" si="308"/>
        <v>0.5870398884788367</v>
      </c>
      <c r="F709" s="303"/>
      <c r="G709" s="302">
        <v>0.3804708498652048</v>
      </c>
      <c r="H709" s="302">
        <v>0.34913966176866468</v>
      </c>
      <c r="I709" s="302">
        <v>0.10547850440763332</v>
      </c>
      <c r="J709" s="302">
        <f t="shared" si="309"/>
        <v>0.83508901604150276</v>
      </c>
      <c r="K709" s="303"/>
      <c r="L709" s="302">
        <v>0.27113125072331185</v>
      </c>
      <c r="M709" s="302">
        <v>0.23278638887358422</v>
      </c>
      <c r="N709" s="302">
        <v>5.9699942876605412E-2</v>
      </c>
      <c r="O709" s="302">
        <f t="shared" si="310"/>
        <v>0.56361758247350147</v>
      </c>
    </row>
    <row r="710" spans="1:15" s="236" customFormat="1" x14ac:dyDescent="0.2">
      <c r="A710" s="237" t="str">
        <f>name!E$8</f>
        <v>Skilled trades occupations</v>
      </c>
      <c r="B710" s="302">
        <v>0.76979932900719605</v>
      </c>
      <c r="C710" s="302">
        <v>7.7306709177189348E-2</v>
      </c>
      <c r="D710" s="302">
        <v>0.47350770043535162</v>
      </c>
      <c r="E710" s="302">
        <f t="shared" si="308"/>
        <v>1.320613738619737</v>
      </c>
      <c r="F710" s="303"/>
      <c r="G710" s="302">
        <v>0.7133471929917885</v>
      </c>
      <c r="H710" s="302">
        <v>0.12937330384402065</v>
      </c>
      <c r="I710" s="302">
        <v>0.40658201077836964</v>
      </c>
      <c r="J710" s="302">
        <f>SUM(G710:I710)</f>
        <v>1.2493025076141788</v>
      </c>
      <c r="K710" s="303"/>
      <c r="L710" s="302">
        <v>0.46602882741538931</v>
      </c>
      <c r="M710" s="302">
        <v>0.12173369911539775</v>
      </c>
      <c r="N710" s="302">
        <v>0.59072393380703514</v>
      </c>
      <c r="O710" s="302">
        <f t="shared" si="310"/>
        <v>1.1784864603378222</v>
      </c>
    </row>
    <row r="711" spans="1:15" s="236" customFormat="1" x14ac:dyDescent="0.2">
      <c r="A711" s="237" t="str">
        <f>name!E$9</f>
        <v>Caring, leisure and other service occupations</v>
      </c>
      <c r="B711" s="302">
        <v>4.6987518890378513E-2</v>
      </c>
      <c r="C711" s="302">
        <v>2.3023049152232168E-2</v>
      </c>
      <c r="D711" s="302">
        <v>2.6068583285706388E-2</v>
      </c>
      <c r="E711" s="302">
        <f t="shared" si="308"/>
        <v>9.607915132831707E-2</v>
      </c>
      <c r="F711" s="303"/>
      <c r="G711" s="302">
        <v>5.4667138664569084E-2</v>
      </c>
      <c r="H711" s="302">
        <v>6.2304877804397529E-2</v>
      </c>
      <c r="I711" s="302">
        <v>3.8884813009356804E-2</v>
      </c>
      <c r="J711" s="302">
        <f t="shared" ref="J711:J714" si="311">SUM(G711:I711)</f>
        <v>0.15585682947832341</v>
      </c>
      <c r="K711" s="303"/>
      <c r="L711" s="302">
        <v>7.9394599278722444E-2</v>
      </c>
      <c r="M711" s="302">
        <v>7.1040437623129477E-2</v>
      </c>
      <c r="N711" s="302">
        <v>2.8210742703035929E-2</v>
      </c>
      <c r="O711" s="302">
        <f t="shared" si="310"/>
        <v>0.17864577960488784</v>
      </c>
    </row>
    <row r="712" spans="1:15" s="236" customFormat="1" x14ac:dyDescent="0.2">
      <c r="A712" s="237" t="str">
        <f>name!E$10</f>
        <v>Sales and customer service occupations</v>
      </c>
      <c r="B712" s="302">
        <v>0.19429305083908702</v>
      </c>
      <c r="C712" s="302">
        <v>6.5788617454116849E-2</v>
      </c>
      <c r="D712" s="302">
        <v>0.11086772634891738</v>
      </c>
      <c r="E712" s="302">
        <f t="shared" si="308"/>
        <v>0.37094939464212129</v>
      </c>
      <c r="F712" s="303"/>
      <c r="G712" s="302">
        <v>0.20145245951237609</v>
      </c>
      <c r="H712" s="302">
        <v>0.15604123685513246</v>
      </c>
      <c r="I712" s="302">
        <v>8.9052809557926021E-2</v>
      </c>
      <c r="J712" s="302">
        <f t="shared" si="311"/>
        <v>0.44654650592543454</v>
      </c>
      <c r="K712" s="303"/>
      <c r="L712" s="302">
        <v>0.19826386409519414</v>
      </c>
      <c r="M712" s="302">
        <v>0.19440726214143492</v>
      </c>
      <c r="N712" s="302">
        <v>6.8665526003839877E-2</v>
      </c>
      <c r="O712" s="302">
        <f t="shared" si="310"/>
        <v>0.46133665224046894</v>
      </c>
    </row>
    <row r="713" spans="1:15" s="236" customFormat="1" x14ac:dyDescent="0.2">
      <c r="A713" s="237" t="str">
        <f>name!E$11</f>
        <v>Process, plant and machine operatives</v>
      </c>
      <c r="B713" s="302">
        <v>0.11949986898663702</v>
      </c>
      <c r="C713" s="302">
        <v>7.0442017962154144E-2</v>
      </c>
      <c r="D713" s="302">
        <v>5.682894825433215E-2</v>
      </c>
      <c r="E713" s="302">
        <f t="shared" si="308"/>
        <v>0.24677083520312332</v>
      </c>
      <c r="F713" s="303"/>
      <c r="G713" s="302">
        <v>0.11692654637533015</v>
      </c>
      <c r="H713" s="302">
        <v>0.18541325974986808</v>
      </c>
      <c r="I713" s="302">
        <v>4.9523925790226055E-2</v>
      </c>
      <c r="J713" s="302">
        <f t="shared" si="311"/>
        <v>0.3518637319154243</v>
      </c>
      <c r="K713" s="303"/>
      <c r="L713" s="302">
        <v>9.1894144468224817E-2</v>
      </c>
      <c r="M713" s="302">
        <v>0.18414549380363818</v>
      </c>
      <c r="N713" s="302">
        <v>2.5127804478229529E-2</v>
      </c>
      <c r="O713" s="302">
        <f t="shared" si="310"/>
        <v>0.30116744275009255</v>
      </c>
    </row>
    <row r="714" spans="1:15" s="236" customFormat="1" x14ac:dyDescent="0.2">
      <c r="A714" s="237" t="str">
        <f>name!E$12</f>
        <v>Elementary occupations</v>
      </c>
      <c r="B714" s="302">
        <v>0.24893692479148133</v>
      </c>
      <c r="C714" s="302">
        <v>0.16108104794707179</v>
      </c>
      <c r="D714" s="302">
        <v>3.8451974634490925E-2</v>
      </c>
      <c r="E714" s="302">
        <f t="shared" si="308"/>
        <v>0.44846994737304402</v>
      </c>
      <c r="F714" s="303"/>
      <c r="G714" s="302">
        <v>0.22708577455124351</v>
      </c>
      <c r="H714" s="302">
        <v>0.27741878445104695</v>
      </c>
      <c r="I714" s="302">
        <v>2.7364737219387137E-2</v>
      </c>
      <c r="J714" s="302">
        <f t="shared" si="311"/>
        <v>0.53186929622167767</v>
      </c>
      <c r="K714" s="303"/>
      <c r="L714" s="302">
        <v>0.13369325597506243</v>
      </c>
      <c r="M714" s="302">
        <v>0.11959637970425425</v>
      </c>
      <c r="N714" s="302">
        <v>1.5781353006327808E-2</v>
      </c>
      <c r="O714" s="302">
        <f t="shared" si="310"/>
        <v>0.2690709886856445</v>
      </c>
    </row>
    <row r="715" spans="1:15" s="236" customFormat="1" x14ac:dyDescent="0.2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2">
      <c r="A716" s="244" t="s">
        <v>32</v>
      </c>
      <c r="B716" s="311">
        <f>SUM(B706:B714)</f>
        <v>4.4539999999765936</v>
      </c>
      <c r="C716" s="311">
        <f t="shared" ref="C716:E716" si="312">SUM(C706:C714)</f>
        <v>0.89099999999934842</v>
      </c>
      <c r="D716" s="311">
        <f t="shared" si="312"/>
        <v>2.8680000000617984</v>
      </c>
      <c r="E716" s="311">
        <f t="shared" si="312"/>
        <v>8.2130000000377414</v>
      </c>
      <c r="F716" s="311"/>
      <c r="G716" s="311">
        <f t="shared" ref="G716:J716" si="313">SUM(G706:G714)</f>
        <v>5.5879999999329604</v>
      </c>
      <c r="H716" s="311">
        <f t="shared" si="313"/>
        <v>2.3859999999980293</v>
      </c>
      <c r="I716" s="311">
        <f t="shared" si="313"/>
        <v>3.2049999999235861</v>
      </c>
      <c r="J716" s="311">
        <f t="shared" si="313"/>
        <v>11.178999999854575</v>
      </c>
      <c r="K716" s="311"/>
      <c r="L716" s="311">
        <f t="shared" ref="L716:O716" si="314">SUM(L706:L714)</f>
        <v>5.1849999999476299</v>
      </c>
      <c r="M716" s="311">
        <f t="shared" si="314"/>
        <v>2.4359999999856004</v>
      </c>
      <c r="N716" s="311">
        <f t="shared" si="314"/>
        <v>2.8940000000522321</v>
      </c>
      <c r="O716" s="311">
        <f t="shared" si="314"/>
        <v>10.514999999985463</v>
      </c>
    </row>
    <row r="717" spans="1:15" s="236" customFormat="1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2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2">
      <c r="A720" s="241" t="str">
        <f>name!A45</f>
        <v>Film and music</v>
      </c>
      <c r="B720" s="374">
        <f>$B$6</f>
        <v>2015</v>
      </c>
      <c r="C720" s="374"/>
      <c r="D720" s="374"/>
      <c r="E720" s="374"/>
      <c r="F720" s="263"/>
      <c r="G720" s="374">
        <f>$G$6</f>
        <v>2020</v>
      </c>
      <c r="H720" s="374"/>
      <c r="I720" s="374"/>
      <c r="J720" s="374"/>
      <c r="K720" s="263"/>
      <c r="L720" s="374">
        <f>$L$6</f>
        <v>2035</v>
      </c>
      <c r="M720" s="374"/>
      <c r="N720" s="374"/>
      <c r="O720" s="374"/>
    </row>
    <row r="721" spans="1:15" s="236" customFormat="1" x14ac:dyDescent="0.2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2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2">
      <c r="A723" s="237" t="str">
        <f>name!E$4</f>
        <v>Managers, directors and senior officials</v>
      </c>
      <c r="B723" s="302">
        <v>0.35304880789781179</v>
      </c>
      <c r="C723" s="302">
        <v>6.4729931089176893E-2</v>
      </c>
      <c r="D723" s="302">
        <v>0.19331693954911336</v>
      </c>
      <c r="E723" s="302">
        <f>SUM(B723:D723)</f>
        <v>0.61109567853610203</v>
      </c>
      <c r="F723" s="303"/>
      <c r="G723" s="302">
        <v>0.60288465638650091</v>
      </c>
      <c r="H723" s="302">
        <v>9.2011160940952644E-2</v>
      </c>
      <c r="I723" s="302">
        <v>0.14556361257910447</v>
      </c>
      <c r="J723" s="302">
        <f>SUM(G723:I723)</f>
        <v>0.84045942990655798</v>
      </c>
      <c r="K723" s="303"/>
      <c r="L723" s="302">
        <v>0.61494391646337154</v>
      </c>
      <c r="M723" s="302">
        <v>0.1138857226806398</v>
      </c>
      <c r="N723" s="302">
        <v>0.16247804138741465</v>
      </c>
      <c r="O723" s="302">
        <f>SUM(L723:N723)</f>
        <v>0.89130768053142595</v>
      </c>
    </row>
    <row r="724" spans="1:15" s="236" customFormat="1" x14ac:dyDescent="0.2">
      <c r="A724" s="237" t="str">
        <f>name!E$5</f>
        <v>Professional occupations</v>
      </c>
      <c r="B724" s="302">
        <v>0.5891646113627953</v>
      </c>
      <c r="C724" s="302">
        <v>0.15863825402744197</v>
      </c>
      <c r="D724" s="302">
        <v>0.33555192055723726</v>
      </c>
      <c r="E724" s="302">
        <f t="shared" ref="E724:E731" si="315">SUM(B724:D724)</f>
        <v>1.0833547859474746</v>
      </c>
      <c r="F724" s="303"/>
      <c r="G724" s="302">
        <v>1.1329800444329634</v>
      </c>
      <c r="H724" s="302">
        <v>0.22282401167536664</v>
      </c>
      <c r="I724" s="302">
        <v>0.23907417202446002</v>
      </c>
      <c r="J724" s="302">
        <f t="shared" ref="J724:J726" si="316">SUM(G724:I724)</f>
        <v>1.59487822813279</v>
      </c>
      <c r="K724" s="303"/>
      <c r="L724" s="302">
        <v>1.271908687023384</v>
      </c>
      <c r="M724" s="302">
        <v>0.29344168533679182</v>
      </c>
      <c r="N724" s="302">
        <v>0.18868629105469034</v>
      </c>
      <c r="O724" s="302">
        <f t="shared" ref="O724:O731" si="317">SUM(L724:N724)</f>
        <v>1.7540366634148661</v>
      </c>
    </row>
    <row r="725" spans="1:15" s="236" customFormat="1" x14ac:dyDescent="0.2">
      <c r="A725" s="237" t="str">
        <f>name!E$6</f>
        <v>Associate professional occupations</v>
      </c>
      <c r="B725" s="302">
        <v>0.58489747940866677</v>
      </c>
      <c r="C725" s="302">
        <v>0.30244084009592592</v>
      </c>
      <c r="D725" s="302">
        <v>1.0972452937136479</v>
      </c>
      <c r="E725" s="302">
        <f t="shared" si="315"/>
        <v>1.9845836132182406</v>
      </c>
      <c r="F725" s="303"/>
      <c r="G725" s="302">
        <v>1.0659796576360068</v>
      </c>
      <c r="H725" s="302">
        <v>0.33253125225527141</v>
      </c>
      <c r="I725" s="302">
        <v>0.80660228868648987</v>
      </c>
      <c r="J725" s="302">
        <f t="shared" si="316"/>
        <v>2.2051131985777683</v>
      </c>
      <c r="K725" s="303"/>
      <c r="L725" s="302">
        <v>1.0471061624071492</v>
      </c>
      <c r="M725" s="302">
        <v>0.3653757748936437</v>
      </c>
      <c r="N725" s="302">
        <v>0.73264298736506528</v>
      </c>
      <c r="O725" s="302">
        <f t="shared" si="317"/>
        <v>2.1451249246658581</v>
      </c>
    </row>
    <row r="726" spans="1:15" s="236" customFormat="1" x14ac:dyDescent="0.2">
      <c r="A726" s="237" t="str">
        <f>name!E$7</f>
        <v>Administrative and secretarial occupations</v>
      </c>
      <c r="B726" s="302">
        <v>0.45051319110583804</v>
      </c>
      <c r="C726" s="302">
        <v>0.33132130670053889</v>
      </c>
      <c r="D726" s="302">
        <v>4.5521399682800306E-2</v>
      </c>
      <c r="E726" s="302">
        <f t="shared" si="315"/>
        <v>0.82735589748917726</v>
      </c>
      <c r="F726" s="303"/>
      <c r="G726" s="302">
        <v>0.60696965284905868</v>
      </c>
      <c r="H726" s="302">
        <v>0.32141756750677924</v>
      </c>
      <c r="I726" s="302">
        <v>3.5933885722023759E-2</v>
      </c>
      <c r="J726" s="302">
        <f t="shared" si="316"/>
        <v>0.96432110607786159</v>
      </c>
      <c r="K726" s="303"/>
      <c r="L726" s="302">
        <v>0.35314557643325467</v>
      </c>
      <c r="M726" s="302">
        <v>0.2347227732404972</v>
      </c>
      <c r="N726" s="302">
        <v>3.7374538759582764E-2</v>
      </c>
      <c r="O726" s="302">
        <f t="shared" si="317"/>
        <v>0.62524288843333464</v>
      </c>
    </row>
    <row r="727" spans="1:15" s="236" customFormat="1" x14ac:dyDescent="0.2">
      <c r="A727" s="237" t="str">
        <f>name!E$8</f>
        <v>Skilled trades occupations</v>
      </c>
      <c r="B727" s="302">
        <v>0.17917045949364097</v>
      </c>
      <c r="C727" s="302">
        <v>8.079202141292785E-2</v>
      </c>
      <c r="D727" s="302">
        <v>0.21751228788641391</v>
      </c>
      <c r="E727" s="302">
        <f t="shared" si="315"/>
        <v>0.47747476879298273</v>
      </c>
      <c r="F727" s="303"/>
      <c r="G727" s="302">
        <v>0.25702544797924382</v>
      </c>
      <c r="H727" s="302">
        <v>6.2304181149030344E-2</v>
      </c>
      <c r="I727" s="302">
        <v>0.13189443052755126</v>
      </c>
      <c r="J727" s="302">
        <f>SUM(G727:I727)</f>
        <v>0.45122405965582546</v>
      </c>
      <c r="K727" s="303"/>
      <c r="L727" s="302">
        <v>0.20690537196645631</v>
      </c>
      <c r="M727" s="302">
        <v>7.9464557885358486E-2</v>
      </c>
      <c r="N727" s="302">
        <v>0.10970675849821311</v>
      </c>
      <c r="O727" s="302">
        <f t="shared" si="317"/>
        <v>0.39607668835002791</v>
      </c>
    </row>
    <row r="728" spans="1:15" s="236" customFormat="1" x14ac:dyDescent="0.2">
      <c r="A728" s="237" t="str">
        <f>name!E$9</f>
        <v>Caring, leisure and other service occupations</v>
      </c>
      <c r="B728" s="302">
        <v>0.33879378635228752</v>
      </c>
      <c r="C728" s="302">
        <v>0.30118783841243962</v>
      </c>
      <c r="D728" s="302">
        <v>5.7768010771489089E-2</v>
      </c>
      <c r="E728" s="302">
        <f t="shared" si="315"/>
        <v>0.69774963553621627</v>
      </c>
      <c r="F728" s="303"/>
      <c r="G728" s="302">
        <v>0.43227810656498095</v>
      </c>
      <c r="H728" s="302">
        <v>0.27318325975121693</v>
      </c>
      <c r="I728" s="302">
        <v>5.9760428482735148E-2</v>
      </c>
      <c r="J728" s="302">
        <f t="shared" ref="J728:J731" si="318">SUM(G728:I728)</f>
        <v>0.76522179479893304</v>
      </c>
      <c r="K728" s="303"/>
      <c r="L728" s="302">
        <v>0.40333295630113364</v>
      </c>
      <c r="M728" s="302">
        <v>0.2504518370159638</v>
      </c>
      <c r="N728" s="302">
        <v>6.6106532256406558E-2</v>
      </c>
      <c r="O728" s="302">
        <f t="shared" si="317"/>
        <v>0.71989132557350399</v>
      </c>
    </row>
    <row r="729" spans="1:15" s="236" customFormat="1" x14ac:dyDescent="0.2">
      <c r="A729" s="237" t="str">
        <f>name!E$10</f>
        <v>Sales and customer service occupations</v>
      </c>
      <c r="B729" s="302">
        <v>0.18135063812877297</v>
      </c>
      <c r="C729" s="302">
        <v>0.14837522941396616</v>
      </c>
      <c r="D729" s="302">
        <v>4.7256414599958385E-2</v>
      </c>
      <c r="E729" s="302">
        <f t="shared" si="315"/>
        <v>0.37698228214269752</v>
      </c>
      <c r="F729" s="303"/>
      <c r="G729" s="302">
        <v>0.25355696233540437</v>
      </c>
      <c r="H729" s="302">
        <v>0.1439058752306499</v>
      </c>
      <c r="I729" s="302">
        <v>2.593538188022744E-2</v>
      </c>
      <c r="J729" s="302">
        <f t="shared" si="318"/>
        <v>0.4233982194462817</v>
      </c>
      <c r="K729" s="303"/>
      <c r="L729" s="302">
        <v>0.22793627659220403</v>
      </c>
      <c r="M729" s="302">
        <v>0.14521199619066719</v>
      </c>
      <c r="N729" s="302">
        <v>2.4736564255765196E-2</v>
      </c>
      <c r="O729" s="302">
        <f t="shared" si="317"/>
        <v>0.39788483703863642</v>
      </c>
    </row>
    <row r="730" spans="1:15" s="236" customFormat="1" x14ac:dyDescent="0.2">
      <c r="A730" s="237" t="str">
        <f>name!E$11</f>
        <v>Process, plant and machine operatives</v>
      </c>
      <c r="B730" s="302">
        <v>8.194364377691872E-2</v>
      </c>
      <c r="C730" s="302">
        <v>4.0695709479800508E-2</v>
      </c>
      <c r="D730" s="302">
        <v>1.4492394521835357E-2</v>
      </c>
      <c r="E730" s="302">
        <f t="shared" si="315"/>
        <v>0.13713174777855458</v>
      </c>
      <c r="F730" s="303"/>
      <c r="G730" s="302">
        <v>0.10676958361031777</v>
      </c>
      <c r="H730" s="302">
        <v>4.1650220272696721E-2</v>
      </c>
      <c r="I730" s="302">
        <v>1.0120772610095361E-2</v>
      </c>
      <c r="J730" s="302">
        <f t="shared" si="318"/>
        <v>0.15854057649310985</v>
      </c>
      <c r="K730" s="303"/>
      <c r="L730" s="302">
        <v>9.6948874495682374E-2</v>
      </c>
      <c r="M730" s="302">
        <v>6.1607641107136547E-2</v>
      </c>
      <c r="N730" s="302">
        <v>1.0816450307551205E-2</v>
      </c>
      <c r="O730" s="302">
        <f t="shared" si="317"/>
        <v>0.16937296591037013</v>
      </c>
    </row>
    <row r="731" spans="1:15" s="236" customFormat="1" x14ac:dyDescent="0.2">
      <c r="A731" s="237" t="str">
        <f>name!E$12</f>
        <v>Elementary occupations</v>
      </c>
      <c r="B731" s="302">
        <v>0.44111738247575921</v>
      </c>
      <c r="C731" s="302">
        <v>0.73281886937223784</v>
      </c>
      <c r="D731" s="302">
        <v>0.12833533877614617</v>
      </c>
      <c r="E731" s="302">
        <f t="shared" si="315"/>
        <v>1.3022715906241431</v>
      </c>
      <c r="F731" s="303"/>
      <c r="G731" s="302">
        <v>0.59655588817745686</v>
      </c>
      <c r="H731" s="302">
        <v>0.60217247123190476</v>
      </c>
      <c r="I731" s="302">
        <v>9.0115027474878706E-2</v>
      </c>
      <c r="J731" s="302">
        <f t="shared" si="318"/>
        <v>1.2888433868842404</v>
      </c>
      <c r="K731" s="303"/>
      <c r="L731" s="302">
        <v>0.5137721783446747</v>
      </c>
      <c r="M731" s="302">
        <v>0.52783801165835387</v>
      </c>
      <c r="N731" s="302">
        <v>0.12645183615677996</v>
      </c>
      <c r="O731" s="302">
        <f t="shared" si="317"/>
        <v>1.1680620261598085</v>
      </c>
    </row>
    <row r="732" spans="1:15" s="236" customFormat="1" x14ac:dyDescent="0.2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2">
      <c r="A733" s="244" t="s">
        <v>32</v>
      </c>
      <c r="B733" s="311">
        <f>SUM(B723:B731)</f>
        <v>3.2000000000024915</v>
      </c>
      <c r="C733" s="311">
        <f t="shared" ref="C733:E733" si="319">SUM(C723:C731)</f>
        <v>2.1610000000044556</v>
      </c>
      <c r="D733" s="311">
        <f t="shared" si="319"/>
        <v>2.1370000000586415</v>
      </c>
      <c r="E733" s="311">
        <f t="shared" si="319"/>
        <v>7.4980000000655895</v>
      </c>
      <c r="F733" s="311"/>
      <c r="G733" s="311">
        <f t="shared" ref="G733:J733" si="320">SUM(G723:G731)</f>
        <v>5.0549999999719333</v>
      </c>
      <c r="H733" s="311">
        <f t="shared" si="320"/>
        <v>2.0920000000138685</v>
      </c>
      <c r="I733" s="311">
        <f t="shared" si="320"/>
        <v>1.5449999999875661</v>
      </c>
      <c r="J733" s="311">
        <f t="shared" si="320"/>
        <v>8.6919999999733673</v>
      </c>
      <c r="K733" s="311"/>
      <c r="L733" s="311">
        <f t="shared" ref="L733:O733" si="321">SUM(L723:L731)</f>
        <v>4.7360000000273095</v>
      </c>
      <c r="M733" s="311">
        <f t="shared" si="321"/>
        <v>2.0720000000090524</v>
      </c>
      <c r="N733" s="311">
        <f t="shared" si="321"/>
        <v>1.4590000000414689</v>
      </c>
      <c r="O733" s="311">
        <f t="shared" si="321"/>
        <v>8.2670000000778323</v>
      </c>
    </row>
    <row r="734" spans="1:15" s="236" customFormat="1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2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2">
      <c r="A737" s="241" t="str">
        <f>name!A46</f>
        <v>Broadcasting</v>
      </c>
      <c r="B737" s="374">
        <f>$B$6</f>
        <v>2015</v>
      </c>
      <c r="C737" s="374"/>
      <c r="D737" s="374"/>
      <c r="E737" s="374"/>
      <c r="F737" s="263"/>
      <c r="G737" s="374">
        <f>$G$6</f>
        <v>2020</v>
      </c>
      <c r="H737" s="374"/>
      <c r="I737" s="374"/>
      <c r="J737" s="374"/>
      <c r="K737" s="263"/>
      <c r="L737" s="374">
        <f>$L$6</f>
        <v>2035</v>
      </c>
      <c r="M737" s="374"/>
      <c r="N737" s="374"/>
      <c r="O737" s="374"/>
    </row>
    <row r="738" spans="1:15" s="236" customFormat="1" x14ac:dyDescent="0.2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2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2">
      <c r="A740" s="237" t="str">
        <f>name!E$4</f>
        <v>Managers, directors and senior officials</v>
      </c>
      <c r="B740" s="302">
        <v>2.4472069883940194E-2</v>
      </c>
      <c r="C740" s="302">
        <v>2.3741019336315857E-3</v>
      </c>
      <c r="D740" s="302">
        <v>1.2199713231295938E-2</v>
      </c>
      <c r="E740" s="302">
        <f>SUM(B740:D740)</f>
        <v>3.9045885048867718E-2</v>
      </c>
      <c r="F740" s="303"/>
      <c r="G740" s="302">
        <v>0.14388151298392005</v>
      </c>
      <c r="H740" s="302">
        <v>1.512049212509887E-2</v>
      </c>
      <c r="I740" s="302">
        <v>4.7349058216413192E-2</v>
      </c>
      <c r="J740" s="302">
        <f>SUM(G740:I740)</f>
        <v>0.2063510633254321</v>
      </c>
      <c r="K740" s="303"/>
      <c r="L740" s="302">
        <v>0.13165224888118085</v>
      </c>
      <c r="M740" s="302">
        <v>2.2482595649899937E-2</v>
      </c>
      <c r="N740" s="302">
        <v>5.0793371810044674E-2</v>
      </c>
      <c r="O740" s="302">
        <f>SUM(L740:N740)</f>
        <v>0.20492821634112546</v>
      </c>
    </row>
    <row r="741" spans="1:15" s="236" customFormat="1" x14ac:dyDescent="0.2">
      <c r="A741" s="237" t="str">
        <f>name!E$5</f>
        <v>Professional occupations</v>
      </c>
      <c r="B741" s="302">
        <v>4.1893805925683085E-2</v>
      </c>
      <c r="C741" s="302">
        <v>5.9676297421824781E-3</v>
      </c>
      <c r="D741" s="302">
        <v>2.6586276725078201E-2</v>
      </c>
      <c r="E741" s="302">
        <f t="shared" ref="E741:E748" si="322">SUM(B741:D741)</f>
        <v>7.444771239294376E-2</v>
      </c>
      <c r="F741" s="303"/>
      <c r="G741" s="302">
        <v>0.27236110500342786</v>
      </c>
      <c r="H741" s="302">
        <v>4.5371844380231056E-2</v>
      </c>
      <c r="I741" s="302">
        <v>9.1258799242630848E-2</v>
      </c>
      <c r="J741" s="302">
        <f t="shared" ref="J741:J743" si="323">SUM(G741:I741)</f>
        <v>0.40899174862628979</v>
      </c>
      <c r="K741" s="303"/>
      <c r="L741" s="302">
        <v>0.27702956336225371</v>
      </c>
      <c r="M741" s="302">
        <v>7.3479952222214651E-2</v>
      </c>
      <c r="N741" s="302">
        <v>7.0038753879216473E-2</v>
      </c>
      <c r="O741" s="302">
        <f t="shared" ref="O741:O748" si="324">SUM(L741:N741)</f>
        <v>0.42054826946368484</v>
      </c>
    </row>
    <row r="742" spans="1:15" s="236" customFormat="1" x14ac:dyDescent="0.2">
      <c r="A742" s="237" t="str">
        <f>name!E$6</f>
        <v>Associate professional occupations</v>
      </c>
      <c r="B742" s="302">
        <v>2.4373549701790773E-2</v>
      </c>
      <c r="C742" s="302">
        <v>1.2448355696102175E-2</v>
      </c>
      <c r="D742" s="302">
        <v>7.245385781888454E-2</v>
      </c>
      <c r="E742" s="302">
        <f t="shared" si="322"/>
        <v>0.10927576321677748</v>
      </c>
      <c r="F742" s="303"/>
      <c r="G742" s="302">
        <v>0.14752202728633687</v>
      </c>
      <c r="H742" s="302">
        <v>6.6038803249780967E-2</v>
      </c>
      <c r="I742" s="302">
        <v>0.28094359278151293</v>
      </c>
      <c r="J742" s="302">
        <f t="shared" si="323"/>
        <v>0.49450442331763078</v>
      </c>
      <c r="K742" s="303"/>
      <c r="L742" s="302">
        <v>0.12762498924506724</v>
      </c>
      <c r="M742" s="302">
        <v>6.3002481969782045E-2</v>
      </c>
      <c r="N742" s="302">
        <v>0.25360053483400258</v>
      </c>
      <c r="O742" s="302">
        <f t="shared" si="324"/>
        <v>0.44422800604885188</v>
      </c>
    </row>
    <row r="743" spans="1:15" s="236" customFormat="1" x14ac:dyDescent="0.2">
      <c r="A743" s="237" t="str">
        <f>name!E$7</f>
        <v>Administrative and secretarial occupations</v>
      </c>
      <c r="B743" s="302">
        <v>7.1462275890937562E-3</v>
      </c>
      <c r="C743" s="302">
        <v>8.1109335915753485E-3</v>
      </c>
      <c r="D743" s="302">
        <v>2.1959800356686895E-3</v>
      </c>
      <c r="E743" s="302">
        <f t="shared" si="322"/>
        <v>1.7453141216337793E-2</v>
      </c>
      <c r="F743" s="303"/>
      <c r="G743" s="302">
        <v>4.0271304378814703E-2</v>
      </c>
      <c r="H743" s="302">
        <v>3.8230461522092099E-2</v>
      </c>
      <c r="I743" s="302">
        <v>8.0706690036868069E-3</v>
      </c>
      <c r="J743" s="302">
        <f t="shared" si="323"/>
        <v>8.6572434904593598E-2</v>
      </c>
      <c r="K743" s="303"/>
      <c r="L743" s="302">
        <v>3.5008521422440861E-2</v>
      </c>
      <c r="M743" s="302">
        <v>2.3573051381958397E-2</v>
      </c>
      <c r="N743" s="302">
        <v>7.5220286543897941E-3</v>
      </c>
      <c r="O743" s="302">
        <f t="shared" si="324"/>
        <v>6.6103601458789046E-2</v>
      </c>
    </row>
    <row r="744" spans="1:15" s="236" customFormat="1" x14ac:dyDescent="0.2">
      <c r="A744" s="237" t="str">
        <f>name!E$8</f>
        <v>Skilled trades occupations</v>
      </c>
      <c r="B744" s="302">
        <v>2.6086950079143838E-2</v>
      </c>
      <c r="C744" s="302">
        <v>4.5039450062913577E-3</v>
      </c>
      <c r="D744" s="302">
        <v>1.3944027665839864E-2</v>
      </c>
      <c r="E744" s="302">
        <f t="shared" si="322"/>
        <v>4.4534922751275061E-2</v>
      </c>
      <c r="F744" s="303"/>
      <c r="G744" s="302">
        <v>0.11535631288157072</v>
      </c>
      <c r="H744" s="302">
        <v>1.4937318947087953E-2</v>
      </c>
      <c r="I744" s="302">
        <v>4.3819624785142737E-2</v>
      </c>
      <c r="J744" s="302">
        <f>SUM(G744:I744)</f>
        <v>0.17411325661380139</v>
      </c>
      <c r="K744" s="303"/>
      <c r="L744" s="302">
        <v>8.6404971139347572E-2</v>
      </c>
      <c r="M744" s="302">
        <v>1.5521257272655785E-2</v>
      </c>
      <c r="N744" s="302">
        <v>3.929999519612954E-2</v>
      </c>
      <c r="O744" s="302">
        <f t="shared" si="324"/>
        <v>0.14122622360813289</v>
      </c>
    </row>
    <row r="745" spans="1:15" s="236" customFormat="1" x14ac:dyDescent="0.2">
      <c r="A745" s="237" t="str">
        <f>name!E$9</f>
        <v>Caring, leisure and other service occupations</v>
      </c>
      <c r="B745" s="302">
        <v>7.0969393155874754E-3</v>
      </c>
      <c r="C745" s="302">
        <v>9.5041818843607292E-3</v>
      </c>
      <c r="D745" s="302">
        <v>2.1129641832125985E-3</v>
      </c>
      <c r="E745" s="302">
        <f t="shared" si="322"/>
        <v>1.8714085383160804E-2</v>
      </c>
      <c r="F745" s="303"/>
      <c r="G745" s="302">
        <v>3.6817395511222407E-2</v>
      </c>
      <c r="H745" s="302">
        <v>3.9009084557916927E-2</v>
      </c>
      <c r="I745" s="302">
        <v>1.0849671823709946E-2</v>
      </c>
      <c r="J745" s="302">
        <f t="shared" ref="J745:J748" si="325">SUM(G745:I745)</f>
        <v>8.6676151892849274E-2</v>
      </c>
      <c r="K745" s="303"/>
      <c r="L745" s="302">
        <v>4.0437924386492852E-2</v>
      </c>
      <c r="M745" s="302">
        <v>3.7434760568081066E-2</v>
      </c>
      <c r="N745" s="302">
        <v>1.0480445371813479E-2</v>
      </c>
      <c r="O745" s="302">
        <f t="shared" si="324"/>
        <v>8.8353130326387391E-2</v>
      </c>
    </row>
    <row r="746" spans="1:15" s="236" customFormat="1" x14ac:dyDescent="0.2">
      <c r="A746" s="237" t="str">
        <f>name!E$10</f>
        <v>Sales and customer service occupations</v>
      </c>
      <c r="B746" s="302">
        <v>7.048558946588783E-3</v>
      </c>
      <c r="C746" s="302">
        <v>8.1722832128426869E-3</v>
      </c>
      <c r="D746" s="302">
        <v>2.7216049240976945E-3</v>
      </c>
      <c r="E746" s="302">
        <f t="shared" si="322"/>
        <v>1.7942447083529163E-2</v>
      </c>
      <c r="F746" s="303"/>
      <c r="G746" s="302">
        <v>3.7511466846062796E-2</v>
      </c>
      <c r="H746" s="302">
        <v>3.5005019917865351E-2</v>
      </c>
      <c r="I746" s="302">
        <v>7.436406825754604E-3</v>
      </c>
      <c r="J746" s="302">
        <f t="shared" si="325"/>
        <v>7.9952893589682758E-2</v>
      </c>
      <c r="K746" s="303"/>
      <c r="L746" s="302">
        <v>4.4282040836026708E-2</v>
      </c>
      <c r="M746" s="302">
        <v>3.7254420054115549E-2</v>
      </c>
      <c r="N746" s="302">
        <v>6.5675663425195478E-3</v>
      </c>
      <c r="O746" s="302">
        <f t="shared" si="324"/>
        <v>8.8104027232661808E-2</v>
      </c>
    </row>
    <row r="747" spans="1:15" s="236" customFormat="1" x14ac:dyDescent="0.2">
      <c r="A747" s="237" t="str">
        <f>name!E$11</f>
        <v>Process, plant and machine operatives</v>
      </c>
      <c r="B747" s="302">
        <v>2.3275954853879907E-3</v>
      </c>
      <c r="C747" s="302">
        <v>1.2154660572852023E-3</v>
      </c>
      <c r="D747" s="302">
        <v>8.0623757136338273E-4</v>
      </c>
      <c r="E747" s="302">
        <f t="shared" si="322"/>
        <v>4.3492991140365754E-3</v>
      </c>
      <c r="F747" s="303"/>
      <c r="G747" s="302">
        <v>9.6136786290346773E-3</v>
      </c>
      <c r="H747" s="302">
        <v>5.3795302088491337E-3</v>
      </c>
      <c r="I747" s="302">
        <v>2.4271089817236068E-3</v>
      </c>
      <c r="J747" s="302">
        <f t="shared" si="325"/>
        <v>1.7420317819607418E-2</v>
      </c>
      <c r="K747" s="303"/>
      <c r="L747" s="302">
        <v>7.6552764052854397E-3</v>
      </c>
      <c r="M747" s="302">
        <v>5.9690784985420523E-3</v>
      </c>
      <c r="N747" s="302">
        <v>2.4156581248486386E-3</v>
      </c>
      <c r="O747" s="302">
        <f t="shared" si="324"/>
        <v>1.604001302867613E-2</v>
      </c>
    </row>
    <row r="748" spans="1:15" s="236" customFormat="1" x14ac:dyDescent="0.2">
      <c r="A748" s="237" t="str">
        <f>name!E$12</f>
        <v>Elementary occupations</v>
      </c>
      <c r="B748" s="302">
        <v>5.5543030718992904E-3</v>
      </c>
      <c r="C748" s="302">
        <v>1.4703102875696665E-2</v>
      </c>
      <c r="D748" s="302">
        <v>1.979337848361283E-3</v>
      </c>
      <c r="E748" s="302">
        <f t="shared" si="322"/>
        <v>2.2236743795957237E-2</v>
      </c>
      <c r="F748" s="303"/>
      <c r="G748" s="302">
        <v>2.3665196470174728E-2</v>
      </c>
      <c r="H748" s="302">
        <v>5.3907445091380596E-2</v>
      </c>
      <c r="I748" s="302">
        <v>4.845068331718631E-3</v>
      </c>
      <c r="J748" s="302">
        <f t="shared" si="325"/>
        <v>8.241770989327396E-2</v>
      </c>
      <c r="K748" s="303"/>
      <c r="L748" s="302">
        <v>1.3904464312819508E-2</v>
      </c>
      <c r="M748" s="302">
        <v>4.4282402380839823E-2</v>
      </c>
      <c r="N748" s="302">
        <v>4.2816458006042779E-3</v>
      </c>
      <c r="O748" s="302">
        <f t="shared" si="324"/>
        <v>6.2468512494263606E-2</v>
      </c>
    </row>
    <row r="749" spans="1:15" s="236" customFormat="1" x14ac:dyDescent="0.2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2">
      <c r="A750" s="244" t="s">
        <v>32</v>
      </c>
      <c r="B750" s="311">
        <f>SUM(B740:B748)</f>
        <v>0.1459999999991152</v>
      </c>
      <c r="C750" s="311">
        <f t="shared" ref="C750:E750" si="326">SUM(C740:C748)</f>
        <v>6.6999999999968224E-2</v>
      </c>
      <c r="D750" s="311">
        <f t="shared" si="326"/>
        <v>0.13500000000380222</v>
      </c>
      <c r="E750" s="311">
        <f t="shared" si="326"/>
        <v>0.34800000000288561</v>
      </c>
      <c r="F750" s="311"/>
      <c r="G750" s="311">
        <f t="shared" ref="G750:J750" si="327">SUM(G740:G748)</f>
        <v>0.82699999999056473</v>
      </c>
      <c r="H750" s="311">
        <f t="shared" si="327"/>
        <v>0.31300000000030292</v>
      </c>
      <c r="I750" s="311">
        <f t="shared" si="327"/>
        <v>0.49699999999229322</v>
      </c>
      <c r="J750" s="311">
        <f t="shared" si="327"/>
        <v>1.636999999983161</v>
      </c>
      <c r="K750" s="311"/>
      <c r="L750" s="311">
        <f t="shared" ref="L750:O750" si="328">SUM(L740:L748)</f>
        <v>0.76399999999091472</v>
      </c>
      <c r="M750" s="311">
        <f t="shared" si="328"/>
        <v>0.32299999999808932</v>
      </c>
      <c r="N750" s="311">
        <f t="shared" si="328"/>
        <v>0.44500000001356899</v>
      </c>
      <c r="O750" s="311">
        <f t="shared" si="328"/>
        <v>1.5320000000025733</v>
      </c>
    </row>
    <row r="751" spans="1:15" s="236" customFormat="1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2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2">
      <c r="A754" s="241" t="str">
        <f>name!A47</f>
        <v>Telecommunications</v>
      </c>
      <c r="B754" s="374">
        <f>$B$6</f>
        <v>2015</v>
      </c>
      <c r="C754" s="374"/>
      <c r="D754" s="374"/>
      <c r="E754" s="374"/>
      <c r="F754" s="263"/>
      <c r="G754" s="374">
        <f>$G$6</f>
        <v>2020</v>
      </c>
      <c r="H754" s="374"/>
      <c r="I754" s="374"/>
      <c r="J754" s="374"/>
      <c r="K754" s="263"/>
      <c r="L754" s="374">
        <f>$L$6</f>
        <v>2035</v>
      </c>
      <c r="M754" s="374"/>
      <c r="N754" s="374"/>
      <c r="O754" s="374"/>
    </row>
    <row r="755" spans="1:15" s="236" customFormat="1" x14ac:dyDescent="0.2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2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2">
      <c r="A757" s="237" t="str">
        <f>name!E$4</f>
        <v>Managers, directors and senior officials</v>
      </c>
      <c r="B757" s="302">
        <v>2.4341504811257453</v>
      </c>
      <c r="C757" s="302">
        <v>0.11103039768071687</v>
      </c>
      <c r="D757" s="302">
        <v>0.56095293621784248</v>
      </c>
      <c r="E757" s="302">
        <f>SUM(B757:D757)</f>
        <v>3.1061338150243047</v>
      </c>
      <c r="F757" s="303"/>
      <c r="G757" s="302">
        <v>2.0384429264378712</v>
      </c>
      <c r="H757" s="302">
        <v>8.4542059913020898E-2</v>
      </c>
      <c r="I757" s="302">
        <v>0.21308850021287623</v>
      </c>
      <c r="J757" s="302">
        <f>SUM(G757:I757)</f>
        <v>2.3360734865637687</v>
      </c>
      <c r="K757" s="303"/>
      <c r="L757" s="302">
        <v>2.1535081678833188</v>
      </c>
      <c r="M757" s="302">
        <v>9.1393896501398939E-2</v>
      </c>
      <c r="N757" s="302">
        <v>0.25718004015633106</v>
      </c>
      <c r="O757" s="302">
        <f>SUM(L757:N757)</f>
        <v>2.5020821045410488</v>
      </c>
    </row>
    <row r="758" spans="1:15" s="236" customFormat="1" x14ac:dyDescent="0.2">
      <c r="A758" s="237" t="str">
        <f>name!E$5</f>
        <v>Professional occupations</v>
      </c>
      <c r="B758" s="302">
        <v>4.8714704060412162</v>
      </c>
      <c r="C758" s="302">
        <v>8.5939347093980711E-2</v>
      </c>
      <c r="D758" s="302">
        <v>1.4243773561808759</v>
      </c>
      <c r="E758" s="302">
        <f t="shared" ref="E758:E765" si="329">SUM(B758:D758)</f>
        <v>6.3817871093160727</v>
      </c>
      <c r="F758" s="303"/>
      <c r="G758" s="302">
        <v>4.4213236599966699</v>
      </c>
      <c r="H758" s="302">
        <v>6.6086410954910038E-2</v>
      </c>
      <c r="I758" s="302">
        <v>0.53043285780136629</v>
      </c>
      <c r="J758" s="302">
        <f t="shared" ref="J758:J760" si="330">SUM(G758:I758)</f>
        <v>5.0178429287529465</v>
      </c>
      <c r="K758" s="303"/>
      <c r="L758" s="302">
        <v>5.4127594029011297</v>
      </c>
      <c r="M758" s="302">
        <v>9.2189472238872167E-2</v>
      </c>
      <c r="N758" s="302">
        <v>0.50309010361013351</v>
      </c>
      <c r="O758" s="302">
        <f t="shared" ref="O758:O765" si="331">SUM(L758:N758)</f>
        <v>6.0080389787501352</v>
      </c>
    </row>
    <row r="759" spans="1:15" s="236" customFormat="1" x14ac:dyDescent="0.2">
      <c r="A759" s="237" t="str">
        <f>name!E$6</f>
        <v>Associate professional occupations</v>
      </c>
      <c r="B759" s="302">
        <v>2.0628657946410631</v>
      </c>
      <c r="C759" s="302">
        <v>0.11589608378660503</v>
      </c>
      <c r="D759" s="302">
        <v>0.44076497542914173</v>
      </c>
      <c r="E759" s="302">
        <f t="shared" si="329"/>
        <v>2.6195268538568097</v>
      </c>
      <c r="F759" s="303"/>
      <c r="G759" s="302">
        <v>1.7925025728996065</v>
      </c>
      <c r="H759" s="302">
        <v>8.1534884220118356E-2</v>
      </c>
      <c r="I759" s="302">
        <v>0.14356287742175058</v>
      </c>
      <c r="J759" s="302">
        <f t="shared" si="330"/>
        <v>2.0176003345414757</v>
      </c>
      <c r="K759" s="303"/>
      <c r="L759" s="302">
        <v>1.8747883340492295</v>
      </c>
      <c r="M759" s="302">
        <v>7.2223578055896132E-2</v>
      </c>
      <c r="N759" s="302">
        <v>0.17055697208354692</v>
      </c>
      <c r="O759" s="302">
        <f t="shared" si="331"/>
        <v>2.1175688841886728</v>
      </c>
    </row>
    <row r="760" spans="1:15" s="236" customFormat="1" x14ac:dyDescent="0.2">
      <c r="A760" s="237" t="str">
        <f>name!E$7</f>
        <v>Administrative and secretarial occupations</v>
      </c>
      <c r="B760" s="302">
        <v>0.77792028521370571</v>
      </c>
      <c r="C760" s="302">
        <v>0.13863852711018992</v>
      </c>
      <c r="D760" s="302">
        <v>0.24609130428951459</v>
      </c>
      <c r="E760" s="302">
        <f t="shared" si="329"/>
        <v>1.1626501166134102</v>
      </c>
      <c r="F760" s="303"/>
      <c r="G760" s="302">
        <v>0.63157672878192517</v>
      </c>
      <c r="H760" s="302">
        <v>7.3861747822303911E-2</v>
      </c>
      <c r="I760" s="302">
        <v>3.9051776000625441E-2</v>
      </c>
      <c r="J760" s="302">
        <f t="shared" si="330"/>
        <v>0.74449025260485457</v>
      </c>
      <c r="K760" s="303"/>
      <c r="L760" s="302">
        <v>0.65457633291578576</v>
      </c>
      <c r="M760" s="302">
        <v>5.7135386695025686E-2</v>
      </c>
      <c r="N760" s="302">
        <v>2.8566012552719022E-2</v>
      </c>
      <c r="O760" s="302">
        <f t="shared" si="331"/>
        <v>0.74027773216353054</v>
      </c>
    </row>
    <row r="761" spans="1:15" s="236" customFormat="1" x14ac:dyDescent="0.2">
      <c r="A761" s="237" t="str">
        <f>name!E$8</f>
        <v>Skilled trades occupations</v>
      </c>
      <c r="B761" s="302">
        <v>2.0925327181975564</v>
      </c>
      <c r="C761" s="302">
        <v>8.6869659189674236E-2</v>
      </c>
      <c r="D761" s="302">
        <v>0.44310909563462597</v>
      </c>
      <c r="E761" s="302">
        <f t="shared" si="329"/>
        <v>2.6225114730218566</v>
      </c>
      <c r="F761" s="303"/>
      <c r="G761" s="302">
        <v>1.2857988519509502</v>
      </c>
      <c r="H761" s="302">
        <v>3.6261295391627188E-2</v>
      </c>
      <c r="I761" s="302">
        <v>0.12853568689904923</v>
      </c>
      <c r="J761" s="302">
        <f>SUM(G761:I761)</f>
        <v>1.4505958342416267</v>
      </c>
      <c r="K761" s="303"/>
      <c r="L761" s="302">
        <v>0.92900611737247618</v>
      </c>
      <c r="M761" s="302">
        <v>3.4515110014817954E-2</v>
      </c>
      <c r="N761" s="302">
        <v>0.18292601723725349</v>
      </c>
      <c r="O761" s="302">
        <f t="shared" si="331"/>
        <v>1.1464472446245477</v>
      </c>
    </row>
    <row r="762" spans="1:15" s="236" customFormat="1" x14ac:dyDescent="0.2">
      <c r="A762" s="237" t="str">
        <f>name!E$9</f>
        <v>Caring, leisure and other service occupations</v>
      </c>
      <c r="B762" s="302">
        <v>0.32239792583542903</v>
      </c>
      <c r="C762" s="302">
        <v>4.6908741779018048E-2</v>
      </c>
      <c r="D762" s="302">
        <v>9.3738222376429259E-2</v>
      </c>
      <c r="E762" s="302">
        <f t="shared" si="329"/>
        <v>0.46304488999087634</v>
      </c>
      <c r="F762" s="303"/>
      <c r="G762" s="302">
        <v>0.24066731913163705</v>
      </c>
      <c r="H762" s="302">
        <v>2.6210898300639246E-2</v>
      </c>
      <c r="I762" s="302">
        <v>2.7705020850702703E-2</v>
      </c>
      <c r="J762" s="302">
        <f t="shared" ref="J762:J765" si="332">SUM(G762:I762)</f>
        <v>0.294583238282979</v>
      </c>
      <c r="K762" s="303"/>
      <c r="L762" s="302">
        <v>0.34826335385012158</v>
      </c>
      <c r="M762" s="302">
        <v>2.8723562692078826E-2</v>
      </c>
      <c r="N762" s="302">
        <v>5.7337358547066425E-2</v>
      </c>
      <c r="O762" s="302">
        <f t="shared" si="331"/>
        <v>0.43432427508926685</v>
      </c>
    </row>
    <row r="763" spans="1:15" s="236" customFormat="1" x14ac:dyDescent="0.2">
      <c r="A763" s="237" t="str">
        <f>name!E$10</f>
        <v>Sales and customer service occupations</v>
      </c>
      <c r="B763" s="302">
        <v>1.0944630107867537</v>
      </c>
      <c r="C763" s="302">
        <v>0.58073342729497135</v>
      </c>
      <c r="D763" s="302">
        <v>0.17718134028943328</v>
      </c>
      <c r="E763" s="302">
        <f t="shared" si="329"/>
        <v>1.8523777783711584</v>
      </c>
      <c r="F763" s="303"/>
      <c r="G763" s="302">
        <v>0.81399721982706152</v>
      </c>
      <c r="H763" s="302">
        <v>0.30973315256311101</v>
      </c>
      <c r="I763" s="302">
        <v>3.5485817325566299E-2</v>
      </c>
      <c r="J763" s="302">
        <f t="shared" si="332"/>
        <v>1.1592161897157389</v>
      </c>
      <c r="K763" s="303"/>
      <c r="L763" s="302">
        <v>1.0826189872584346</v>
      </c>
      <c r="M763" s="302">
        <v>0.38344167403401297</v>
      </c>
      <c r="N763" s="302">
        <v>3.3252145163273614E-2</v>
      </c>
      <c r="O763" s="302">
        <f t="shared" si="331"/>
        <v>1.4993128064557213</v>
      </c>
    </row>
    <row r="764" spans="1:15" s="236" customFormat="1" x14ac:dyDescent="0.2">
      <c r="A764" s="237" t="str">
        <f>name!E$11</f>
        <v>Process, plant and machine operatives</v>
      </c>
      <c r="B764" s="302">
        <v>0.10007721541563414</v>
      </c>
      <c r="C764" s="302">
        <v>5.1032564510195395E-2</v>
      </c>
      <c r="D764" s="302">
        <v>9.1403276606061762E-2</v>
      </c>
      <c r="E764" s="302">
        <f t="shared" si="329"/>
        <v>0.24251305653189129</v>
      </c>
      <c r="F764" s="303"/>
      <c r="G764" s="302">
        <v>5.7619921837850287E-2</v>
      </c>
      <c r="H764" s="302">
        <v>2.4255949787811589E-2</v>
      </c>
      <c r="I764" s="302">
        <v>2.7219702230544891E-2</v>
      </c>
      <c r="J764" s="302">
        <f t="shared" si="332"/>
        <v>0.10909557385620676</v>
      </c>
      <c r="K764" s="303"/>
      <c r="L764" s="302">
        <v>5.9408548231516617E-2</v>
      </c>
      <c r="M764" s="302">
        <v>3.0791316130654497E-2</v>
      </c>
      <c r="N764" s="302">
        <v>5.1733983071117297E-2</v>
      </c>
      <c r="O764" s="302">
        <f t="shared" si="331"/>
        <v>0.14193384743328841</v>
      </c>
    </row>
    <row r="765" spans="1:15" s="236" customFormat="1" x14ac:dyDescent="0.2">
      <c r="A765" s="237" t="str">
        <f>name!E$12</f>
        <v>Elementary occupations</v>
      </c>
      <c r="B765" s="302">
        <v>8.812216260183009E-2</v>
      </c>
      <c r="C765" s="302">
        <v>4.9951251564702009E-2</v>
      </c>
      <c r="D765" s="302">
        <v>0.24438149300727638</v>
      </c>
      <c r="E765" s="302">
        <f t="shared" si="329"/>
        <v>0.38245490717380848</v>
      </c>
      <c r="F765" s="303"/>
      <c r="G765" s="302">
        <v>5.1070798921535668E-2</v>
      </c>
      <c r="H765" s="302">
        <v>2.1513601048536484E-2</v>
      </c>
      <c r="I765" s="302">
        <v>6.2917761249450907E-2</v>
      </c>
      <c r="J765" s="302">
        <f t="shared" si="332"/>
        <v>0.13550216121952308</v>
      </c>
      <c r="K765" s="303"/>
      <c r="L765" s="302">
        <v>4.1070755316909111E-2</v>
      </c>
      <c r="M765" s="302">
        <v>1.3586003641427036E-2</v>
      </c>
      <c r="N765" s="302">
        <v>8.1357367578114528E-2</v>
      </c>
      <c r="O765" s="302">
        <f t="shared" si="331"/>
        <v>0.13601412653645067</v>
      </c>
    </row>
    <row r="766" spans="1:15" s="236" customFormat="1" x14ac:dyDescent="0.2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2">
      <c r="A767" s="244" t="s">
        <v>32</v>
      </c>
      <c r="B767" s="311">
        <f>SUM(B757:B765)</f>
        <v>13.843999999858934</v>
      </c>
      <c r="C767" s="311">
        <f t="shared" ref="C767:E767" si="333">SUM(C757:C765)</f>
        <v>1.2670000000100536</v>
      </c>
      <c r="D767" s="311">
        <f t="shared" si="333"/>
        <v>3.7220000000312017</v>
      </c>
      <c r="E767" s="311">
        <f t="shared" si="333"/>
        <v>18.832999999900188</v>
      </c>
      <c r="F767" s="311"/>
      <c r="G767" s="311">
        <f t="shared" ref="G767:J767" si="334">SUM(G757:G765)</f>
        <v>11.332999999785107</v>
      </c>
      <c r="H767" s="311">
        <f t="shared" si="334"/>
        <v>0.72400000000207876</v>
      </c>
      <c r="I767" s="311">
        <f t="shared" si="334"/>
        <v>1.2079999999919329</v>
      </c>
      <c r="J767" s="311">
        <f t="shared" si="334"/>
        <v>13.264999999779121</v>
      </c>
      <c r="K767" s="311"/>
      <c r="L767" s="311">
        <f t="shared" ref="L767:O767" si="335">SUM(L757:L765)</f>
        <v>12.555999999778923</v>
      </c>
      <c r="M767" s="311">
        <f t="shared" si="335"/>
        <v>0.80400000000418415</v>
      </c>
      <c r="N767" s="311">
        <f t="shared" si="335"/>
        <v>1.3659999999995558</v>
      </c>
      <c r="O767" s="311">
        <f t="shared" si="335"/>
        <v>14.725999999782662</v>
      </c>
    </row>
    <row r="768" spans="1:15" s="236" customFormat="1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2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2">
      <c r="A771" s="241" t="str">
        <f>name!A48</f>
        <v>Computing services</v>
      </c>
      <c r="B771" s="374">
        <f>$B$6</f>
        <v>2015</v>
      </c>
      <c r="C771" s="374"/>
      <c r="D771" s="374"/>
      <c r="E771" s="374"/>
      <c r="F771" s="263"/>
      <c r="G771" s="374">
        <f>$G$6</f>
        <v>2020</v>
      </c>
      <c r="H771" s="374"/>
      <c r="I771" s="374"/>
      <c r="J771" s="374"/>
      <c r="K771" s="263"/>
      <c r="L771" s="374">
        <f>$L$6</f>
        <v>2035</v>
      </c>
      <c r="M771" s="374"/>
      <c r="N771" s="374"/>
      <c r="O771" s="374"/>
    </row>
    <row r="772" spans="1:15" s="236" customFormat="1" x14ac:dyDescent="0.2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2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2">
      <c r="A774" s="237" t="str">
        <f>name!E$4</f>
        <v>Managers, directors and senior officials</v>
      </c>
      <c r="B774" s="302">
        <v>4.7865856936810722</v>
      </c>
      <c r="C774" s="302">
        <v>0.74445829328072388</v>
      </c>
      <c r="D774" s="302">
        <v>1.3629671016872693</v>
      </c>
      <c r="E774" s="302">
        <f>SUM(B774:D774)</f>
        <v>6.8940110886490658</v>
      </c>
      <c r="F774" s="303"/>
      <c r="G774" s="302">
        <v>5.2716148679617705</v>
      </c>
      <c r="H774" s="302">
        <v>1.4891141168882662</v>
      </c>
      <c r="I774" s="302">
        <v>1.0142714108507376</v>
      </c>
      <c r="J774" s="302">
        <f>SUM(G774:I774)</f>
        <v>7.7750003957007738</v>
      </c>
      <c r="K774" s="303"/>
      <c r="L774" s="302">
        <v>5.5629325321628187</v>
      </c>
      <c r="M774" s="302">
        <v>1.7433433764579833</v>
      </c>
      <c r="N774" s="302">
        <v>1.1583226305965875</v>
      </c>
      <c r="O774" s="302">
        <f>SUM(L774:N774)</f>
        <v>8.4645985392173895</v>
      </c>
    </row>
    <row r="775" spans="1:15" s="236" customFormat="1" x14ac:dyDescent="0.2">
      <c r="A775" s="237" t="str">
        <f>name!E$5</f>
        <v>Professional occupations</v>
      </c>
      <c r="B775" s="302">
        <v>15.912611639164369</v>
      </c>
      <c r="C775" s="302">
        <v>0.97498964735588556</v>
      </c>
      <c r="D775" s="302">
        <v>3.4320501936751455</v>
      </c>
      <c r="E775" s="302">
        <f t="shared" ref="E775:E782" si="336">SUM(B775:D775)</f>
        <v>20.3196514801954</v>
      </c>
      <c r="F775" s="303"/>
      <c r="G775" s="302">
        <v>19.234679225816077</v>
      </c>
      <c r="H775" s="302">
        <v>1.6686116321414319</v>
      </c>
      <c r="I775" s="302">
        <v>2.2412018925384753</v>
      </c>
      <c r="J775" s="302">
        <f t="shared" ref="J775:J777" si="337">SUM(G775:I775)</f>
        <v>23.144492750495985</v>
      </c>
      <c r="K775" s="303"/>
      <c r="L775" s="302">
        <v>22.615098804166639</v>
      </c>
      <c r="M775" s="302">
        <v>2.10365079018989</v>
      </c>
      <c r="N775" s="302">
        <v>2.1318858015740769</v>
      </c>
      <c r="O775" s="302">
        <f t="shared" ref="O775:O782" si="338">SUM(L775:N775)</f>
        <v>26.850635395930603</v>
      </c>
    </row>
    <row r="776" spans="1:15" s="236" customFormat="1" x14ac:dyDescent="0.2">
      <c r="A776" s="237" t="str">
        <f>name!E$6</f>
        <v>Associate professional occupations</v>
      </c>
      <c r="B776" s="302">
        <v>5.3351782313221729</v>
      </c>
      <c r="C776" s="302">
        <v>0.65401209238460589</v>
      </c>
      <c r="D776" s="302">
        <v>1.6993900192425409</v>
      </c>
      <c r="E776" s="302">
        <f t="shared" si="336"/>
        <v>7.6885803429493196</v>
      </c>
      <c r="F776" s="303"/>
      <c r="G776" s="302">
        <v>6.1445956976129779</v>
      </c>
      <c r="H776" s="302">
        <v>1.0512721351383467</v>
      </c>
      <c r="I776" s="302">
        <v>1.3924177412000793</v>
      </c>
      <c r="J776" s="302">
        <f t="shared" si="337"/>
        <v>8.5882855739514046</v>
      </c>
      <c r="K776" s="303"/>
      <c r="L776" s="302">
        <v>6.4435544241341471</v>
      </c>
      <c r="M776" s="302">
        <v>0.96475453822312829</v>
      </c>
      <c r="N776" s="302">
        <v>1.5830800579122528</v>
      </c>
      <c r="O776" s="302">
        <f t="shared" si="338"/>
        <v>8.9913890202695281</v>
      </c>
    </row>
    <row r="777" spans="1:15" s="236" customFormat="1" x14ac:dyDescent="0.2">
      <c r="A777" s="237" t="str">
        <f>name!E$7</f>
        <v>Administrative and secretarial occupations</v>
      </c>
      <c r="B777" s="302">
        <v>1.4337892389305673</v>
      </c>
      <c r="C777" s="302">
        <v>1.0526173092734994</v>
      </c>
      <c r="D777" s="302">
        <v>0.22703086960951405</v>
      </c>
      <c r="E777" s="302">
        <f t="shared" si="336"/>
        <v>2.7134374178135809</v>
      </c>
      <c r="F777" s="303"/>
      <c r="G777" s="302">
        <v>1.4586750788582199</v>
      </c>
      <c r="H777" s="302">
        <v>1.0452989638738301</v>
      </c>
      <c r="I777" s="302">
        <v>0.20809048227574825</v>
      </c>
      <c r="J777" s="302">
        <f t="shared" si="337"/>
        <v>2.7120645250077984</v>
      </c>
      <c r="K777" s="303"/>
      <c r="L777" s="302">
        <v>1.1966654878085308</v>
      </c>
      <c r="M777" s="302">
        <v>0.83033640559033151</v>
      </c>
      <c r="N777" s="302">
        <v>0.14308487457974206</v>
      </c>
      <c r="O777" s="302">
        <f t="shared" si="338"/>
        <v>2.1700867679786042</v>
      </c>
    </row>
    <row r="778" spans="1:15" s="236" customFormat="1" x14ac:dyDescent="0.2">
      <c r="A778" s="237" t="str">
        <f>name!E$8</f>
        <v>Skilled trades occupations</v>
      </c>
      <c r="B778" s="302">
        <v>1.6305239974248062</v>
      </c>
      <c r="C778" s="302">
        <v>0.22352576612580802</v>
      </c>
      <c r="D778" s="302">
        <v>1.1482444943160657</v>
      </c>
      <c r="E778" s="302">
        <f t="shared" si="336"/>
        <v>3.00229425786668</v>
      </c>
      <c r="F778" s="303"/>
      <c r="G778" s="302">
        <v>1.3552807142383843</v>
      </c>
      <c r="H778" s="302">
        <v>0.26227981287639546</v>
      </c>
      <c r="I778" s="302">
        <v>0.56287001555876737</v>
      </c>
      <c r="J778" s="302">
        <f>SUM(G778:I778)</f>
        <v>2.1804305426735473</v>
      </c>
      <c r="K778" s="303"/>
      <c r="L778" s="302">
        <v>1.0963754416441658</v>
      </c>
      <c r="M778" s="302">
        <v>0.30248322062915528</v>
      </c>
      <c r="N778" s="302">
        <v>1.0112245891029643</v>
      </c>
      <c r="O778" s="302">
        <f t="shared" si="338"/>
        <v>2.4100832513762853</v>
      </c>
    </row>
    <row r="779" spans="1:15" s="236" customFormat="1" x14ac:dyDescent="0.2">
      <c r="A779" s="237" t="str">
        <f>name!E$9</f>
        <v>Caring, leisure and other service occupations</v>
      </c>
      <c r="B779" s="302">
        <v>0.75610538008893158</v>
      </c>
      <c r="C779" s="302">
        <v>0.18315027101916248</v>
      </c>
      <c r="D779" s="302">
        <v>0.1986251903491531</v>
      </c>
      <c r="E779" s="302">
        <f t="shared" si="336"/>
        <v>1.1378808414572472</v>
      </c>
      <c r="F779" s="303"/>
      <c r="G779" s="302">
        <v>0.74219838161500584</v>
      </c>
      <c r="H779" s="302">
        <v>0.2569663837751428</v>
      </c>
      <c r="I779" s="302">
        <v>0.20169324122465448</v>
      </c>
      <c r="J779" s="302">
        <f t="shared" ref="J779:J782" si="339">SUM(G779:I779)</f>
        <v>1.2008580066148031</v>
      </c>
      <c r="K779" s="303"/>
      <c r="L779" s="302">
        <v>1.1129682079926693</v>
      </c>
      <c r="M779" s="302">
        <v>0.29042883920822571</v>
      </c>
      <c r="N779" s="302">
        <v>0.33703850943652569</v>
      </c>
      <c r="O779" s="302">
        <f t="shared" si="338"/>
        <v>1.7404355566374208</v>
      </c>
    </row>
    <row r="780" spans="1:15" s="236" customFormat="1" x14ac:dyDescent="0.2">
      <c r="A780" s="237" t="str">
        <f>name!E$10</f>
        <v>Sales and customer service occupations</v>
      </c>
      <c r="B780" s="302">
        <v>0.50016676493822387</v>
      </c>
      <c r="C780" s="302">
        <v>0.26178482485728777</v>
      </c>
      <c r="D780" s="302">
        <v>0.12108919450697925</v>
      </c>
      <c r="E780" s="302">
        <f t="shared" si="336"/>
        <v>0.88304078430249078</v>
      </c>
      <c r="F780" s="303"/>
      <c r="G780" s="302">
        <v>0.48105237078050661</v>
      </c>
      <c r="H780" s="302">
        <v>0.36990264481627594</v>
      </c>
      <c r="I780" s="302">
        <v>7.7815990484174966E-2</v>
      </c>
      <c r="J780" s="302">
        <f t="shared" si="339"/>
        <v>0.92877100608095753</v>
      </c>
      <c r="K780" s="303"/>
      <c r="L780" s="302">
        <v>0.58327387182623958</v>
      </c>
      <c r="M780" s="302">
        <v>0.54023357135455696</v>
      </c>
      <c r="N780" s="302">
        <v>0.10901920956346862</v>
      </c>
      <c r="O780" s="302">
        <f t="shared" si="338"/>
        <v>1.2325266527442651</v>
      </c>
    </row>
    <row r="781" spans="1:15" s="236" customFormat="1" x14ac:dyDescent="0.2">
      <c r="A781" s="237" t="str">
        <f>name!E$11</f>
        <v>Process, plant and machine operatives</v>
      </c>
      <c r="B781" s="302">
        <v>0.15214397773594085</v>
      </c>
      <c r="C781" s="302">
        <v>0.1622248697573733</v>
      </c>
      <c r="D781" s="302">
        <v>0.31142117957183685</v>
      </c>
      <c r="E781" s="302">
        <f t="shared" si="336"/>
        <v>0.62579002706515108</v>
      </c>
      <c r="F781" s="303"/>
      <c r="G781" s="302">
        <v>0.11562202060212556</v>
      </c>
      <c r="H781" s="302">
        <v>0.30875422264746755</v>
      </c>
      <c r="I781" s="302">
        <v>0.20784271302728377</v>
      </c>
      <c r="J781" s="302">
        <f t="shared" si="339"/>
        <v>0.63221895627687685</v>
      </c>
      <c r="K781" s="303"/>
      <c r="L781" s="302">
        <v>0.13837725069334858</v>
      </c>
      <c r="M781" s="302">
        <v>0.35519859988797592</v>
      </c>
      <c r="N781" s="302">
        <v>0.32962511205864437</v>
      </c>
      <c r="O781" s="302">
        <f t="shared" si="338"/>
        <v>0.82320096263996878</v>
      </c>
    </row>
    <row r="782" spans="1:15" s="236" customFormat="1" x14ac:dyDescent="0.2">
      <c r="A782" s="237" t="str">
        <f>name!E$12</f>
        <v>Elementary occupations</v>
      </c>
      <c r="B782" s="302">
        <v>0.19389507639228948</v>
      </c>
      <c r="C782" s="302">
        <v>0.11023692593468525</v>
      </c>
      <c r="D782" s="302">
        <v>0.22818175715142605</v>
      </c>
      <c r="E782" s="302">
        <f t="shared" si="336"/>
        <v>0.53231375947840076</v>
      </c>
      <c r="F782" s="303"/>
      <c r="G782" s="302">
        <v>0.14528164170202257</v>
      </c>
      <c r="H782" s="302">
        <v>0.13180008777022637</v>
      </c>
      <c r="I782" s="302">
        <v>0.1397965127600882</v>
      </c>
      <c r="J782" s="302">
        <f t="shared" si="339"/>
        <v>0.41687824223233716</v>
      </c>
      <c r="K782" s="303"/>
      <c r="L782" s="302">
        <v>0.11975397880616033</v>
      </c>
      <c r="M782" s="302">
        <v>9.9570658445408536E-2</v>
      </c>
      <c r="N782" s="302">
        <v>0.20371921519049249</v>
      </c>
      <c r="O782" s="302">
        <f t="shared" si="338"/>
        <v>0.42304385244206133</v>
      </c>
    </row>
    <row r="783" spans="1:15" s="236" customFormat="1" x14ac:dyDescent="0.2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2">
      <c r="A784" s="244" t="s">
        <v>32</v>
      </c>
      <c r="B784" s="311">
        <f>SUM(B774:B782)</f>
        <v>30.700999999678384</v>
      </c>
      <c r="C784" s="311">
        <f t="shared" ref="C784:E784" si="340">SUM(C774:C782)</f>
        <v>4.366999999989031</v>
      </c>
      <c r="D784" s="311">
        <f t="shared" si="340"/>
        <v>8.7290000001099308</v>
      </c>
      <c r="E784" s="311">
        <f t="shared" si="340"/>
        <v>43.796999999777327</v>
      </c>
      <c r="F784" s="311"/>
      <c r="G784" s="311">
        <f t="shared" ref="G784:J784" si="341">SUM(G774:G782)</f>
        <v>34.94899999918708</v>
      </c>
      <c r="H784" s="311">
        <f t="shared" si="341"/>
        <v>6.5839999999273822</v>
      </c>
      <c r="I784" s="311">
        <f t="shared" si="341"/>
        <v>6.0459999999200082</v>
      </c>
      <c r="J784" s="311">
        <f t="shared" si="341"/>
        <v>47.57899999903448</v>
      </c>
      <c r="K784" s="311"/>
      <c r="L784" s="311">
        <f t="shared" ref="L784:O784" si="342">SUM(L774:L782)</f>
        <v>38.86899999923471</v>
      </c>
      <c r="M784" s="311">
        <f t="shared" si="342"/>
        <v>7.2299999999866555</v>
      </c>
      <c r="N784" s="311">
        <f t="shared" si="342"/>
        <v>7.0070000000147541</v>
      </c>
      <c r="O784" s="311">
        <f t="shared" si="342"/>
        <v>53.105999999236126</v>
      </c>
    </row>
    <row r="785" spans="1:15" s="236" customFormat="1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2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2">
      <c r="A788" s="241" t="str">
        <f>name!A49</f>
        <v>Information services</v>
      </c>
      <c r="B788" s="374">
        <f>$B$6</f>
        <v>2015</v>
      </c>
      <c r="C788" s="374"/>
      <c r="D788" s="374"/>
      <c r="E788" s="374"/>
      <c r="F788" s="263"/>
      <c r="G788" s="374">
        <f>$G$6</f>
        <v>2020</v>
      </c>
      <c r="H788" s="374"/>
      <c r="I788" s="374"/>
      <c r="J788" s="374"/>
      <c r="K788" s="263"/>
      <c r="L788" s="374">
        <f>$L$6</f>
        <v>2035</v>
      </c>
      <c r="M788" s="374"/>
      <c r="N788" s="374"/>
      <c r="O788" s="374"/>
    </row>
    <row r="789" spans="1:15" s="236" customFormat="1" x14ac:dyDescent="0.2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2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2">
      <c r="A791" s="237" t="str">
        <f>name!E$4</f>
        <v>Managers, directors and senior officials</v>
      </c>
      <c r="B791" s="302">
        <v>1.2407894976281337</v>
      </c>
      <c r="C791" s="302">
        <v>0.11015875300639662</v>
      </c>
      <c r="D791" s="302">
        <v>0.24667433436691868</v>
      </c>
      <c r="E791" s="302">
        <f>SUM(B791:D791)</f>
        <v>1.5976225850014489</v>
      </c>
      <c r="F791" s="303"/>
      <c r="G791" s="302">
        <v>0.6117859701260413</v>
      </c>
      <c r="H791" s="302">
        <v>0.10885065736285796</v>
      </c>
      <c r="I791" s="302">
        <v>7.7050124502479805E-2</v>
      </c>
      <c r="J791" s="302">
        <f>SUM(G791:I791)</f>
        <v>0.79768675199137906</v>
      </c>
      <c r="K791" s="303"/>
      <c r="L791" s="302">
        <v>0.72810402980948452</v>
      </c>
      <c r="M791" s="302">
        <v>0.14616362553484796</v>
      </c>
      <c r="N791" s="302">
        <v>8.4222028290440593E-2</v>
      </c>
      <c r="O791" s="302">
        <f>SUM(L791:N791)</f>
        <v>0.95848968363477305</v>
      </c>
    </row>
    <row r="792" spans="1:15" s="236" customFormat="1" x14ac:dyDescent="0.2">
      <c r="A792" s="237" t="str">
        <f>name!E$5</f>
        <v>Professional occupations</v>
      </c>
      <c r="B792" s="302">
        <v>3.0174293514972108</v>
      </c>
      <c r="C792" s="302">
        <v>0.16179643673383498</v>
      </c>
      <c r="D792" s="302">
        <v>0.42014166426254534</v>
      </c>
      <c r="E792" s="302">
        <f t="shared" ref="E792:E799" si="343">SUM(B792:D792)</f>
        <v>3.5993674524935915</v>
      </c>
      <c r="F792" s="303"/>
      <c r="G792" s="302">
        <v>1.6549282583774763</v>
      </c>
      <c r="H792" s="302">
        <v>0.12997311932173602</v>
      </c>
      <c r="I792" s="302">
        <v>0.11009533667794023</v>
      </c>
      <c r="J792" s="302">
        <f t="shared" ref="J792:J794" si="344">SUM(G792:I792)</f>
        <v>1.8949967143771524</v>
      </c>
      <c r="K792" s="303"/>
      <c r="L792" s="302">
        <v>2.0818557508139715</v>
      </c>
      <c r="M792" s="302">
        <v>0.19585156727999925</v>
      </c>
      <c r="N792" s="302">
        <v>7.7504563647145475E-2</v>
      </c>
      <c r="O792" s="302">
        <f t="shared" ref="O792:O799" si="345">SUM(L792:N792)</f>
        <v>2.3552118817411163</v>
      </c>
    </row>
    <row r="793" spans="1:15" s="236" customFormat="1" x14ac:dyDescent="0.2">
      <c r="A793" s="237" t="str">
        <f>name!E$6</f>
        <v>Associate professional occupations</v>
      </c>
      <c r="B793" s="302">
        <v>1.561027095030844</v>
      </c>
      <c r="C793" s="302">
        <v>0.12988197095374862</v>
      </c>
      <c r="D793" s="302">
        <v>0.39238423210942003</v>
      </c>
      <c r="E793" s="302">
        <f t="shared" si="343"/>
        <v>2.0832932980940129</v>
      </c>
      <c r="F793" s="303"/>
      <c r="G793" s="302">
        <v>0.80247627687794398</v>
      </c>
      <c r="H793" s="302">
        <v>9.5828126185650495E-2</v>
      </c>
      <c r="I793" s="302">
        <v>0.13350808707190021</v>
      </c>
      <c r="J793" s="302">
        <f t="shared" si="344"/>
        <v>1.0318124901354948</v>
      </c>
      <c r="K793" s="303"/>
      <c r="L793" s="302">
        <v>0.87934109225319779</v>
      </c>
      <c r="M793" s="302">
        <v>0.10657843195332686</v>
      </c>
      <c r="N793" s="302">
        <v>0.13860196878419409</v>
      </c>
      <c r="O793" s="302">
        <f t="shared" si="345"/>
        <v>1.1245214929907188</v>
      </c>
    </row>
    <row r="794" spans="1:15" s="236" customFormat="1" x14ac:dyDescent="0.2">
      <c r="A794" s="237" t="str">
        <f>name!E$7</f>
        <v>Administrative and secretarial occupations</v>
      </c>
      <c r="B794" s="302">
        <v>1.0353127352271263</v>
      </c>
      <c r="C794" s="302">
        <v>0.25666540380872765</v>
      </c>
      <c r="D794" s="302">
        <v>6.5744928293455712E-2</v>
      </c>
      <c r="E794" s="302">
        <f t="shared" si="343"/>
        <v>1.3577230673293097</v>
      </c>
      <c r="F794" s="303"/>
      <c r="G794" s="302">
        <v>0.43826571504983952</v>
      </c>
      <c r="H794" s="302">
        <v>0.13412092917424856</v>
      </c>
      <c r="I794" s="302">
        <v>2.5824808042214854E-2</v>
      </c>
      <c r="J794" s="302">
        <f t="shared" si="344"/>
        <v>0.59821145226630301</v>
      </c>
      <c r="K794" s="303"/>
      <c r="L794" s="302">
        <v>0.31481496678926679</v>
      </c>
      <c r="M794" s="302">
        <v>0.12724717882577591</v>
      </c>
      <c r="N794" s="302">
        <v>1.9368957711720508E-2</v>
      </c>
      <c r="O794" s="302">
        <f t="shared" si="345"/>
        <v>0.46143110332676318</v>
      </c>
    </row>
    <row r="795" spans="1:15" s="236" customFormat="1" x14ac:dyDescent="0.2">
      <c r="A795" s="237" t="str">
        <f>name!E$8</f>
        <v>Skilled trades occupations</v>
      </c>
      <c r="B795" s="302">
        <v>0.31758941715291383</v>
      </c>
      <c r="C795" s="302">
        <v>3.4144229094741858E-2</v>
      </c>
      <c r="D795" s="302">
        <v>0.23261258342115687</v>
      </c>
      <c r="E795" s="302">
        <f t="shared" si="343"/>
        <v>0.58434622966881256</v>
      </c>
      <c r="F795" s="303"/>
      <c r="G795" s="302">
        <v>0.12096030690209363</v>
      </c>
      <c r="H795" s="302">
        <v>2.13497653852322E-2</v>
      </c>
      <c r="I795" s="302">
        <v>4.7432374695293156E-2</v>
      </c>
      <c r="J795" s="302">
        <f>SUM(G795:I795)</f>
        <v>0.189742446982619</v>
      </c>
      <c r="K795" s="303"/>
      <c r="L795" s="302">
        <v>0.12268425363003971</v>
      </c>
      <c r="M795" s="302">
        <v>3.1822918383891043E-2</v>
      </c>
      <c r="N795" s="302">
        <v>6.3034472431708483E-2</v>
      </c>
      <c r="O795" s="302">
        <f t="shared" si="345"/>
        <v>0.21754164444563923</v>
      </c>
    </row>
    <row r="796" spans="1:15" s="236" customFormat="1" x14ac:dyDescent="0.2">
      <c r="A796" s="237" t="str">
        <f>name!E$9</f>
        <v>Caring, leisure and other service occupations</v>
      </c>
      <c r="B796" s="302">
        <v>0.56313281285720029</v>
      </c>
      <c r="C796" s="302">
        <v>0.11507809517795499</v>
      </c>
      <c r="D796" s="302">
        <v>0.10331189054976229</v>
      </c>
      <c r="E796" s="302">
        <f t="shared" si="343"/>
        <v>0.78152279858491758</v>
      </c>
      <c r="F796" s="303"/>
      <c r="G796" s="302">
        <v>0.24491206576338412</v>
      </c>
      <c r="H796" s="302">
        <v>7.2969375258251812E-2</v>
      </c>
      <c r="I796" s="302">
        <v>5.1423108126335014E-2</v>
      </c>
      <c r="J796" s="302">
        <f t="shared" ref="J796:J799" si="346">SUM(G796:I796)</f>
        <v>0.36930454914797095</v>
      </c>
      <c r="K796" s="303"/>
      <c r="L796" s="302">
        <v>0.31295334143186798</v>
      </c>
      <c r="M796" s="302">
        <v>7.7176998556124629E-2</v>
      </c>
      <c r="N796" s="302">
        <v>7.3239582887349414E-2</v>
      </c>
      <c r="O796" s="302">
        <f t="shared" si="345"/>
        <v>0.46336992287534207</v>
      </c>
    </row>
    <row r="797" spans="1:15" s="236" customFormat="1" x14ac:dyDescent="0.2">
      <c r="A797" s="237" t="str">
        <f>name!E$10</f>
        <v>Sales and customer service occupations</v>
      </c>
      <c r="B797" s="302">
        <v>0.40616601664153962</v>
      </c>
      <c r="C797" s="302">
        <v>0.10344599071281733</v>
      </c>
      <c r="D797" s="302">
        <v>4.5576865084976714E-2</v>
      </c>
      <c r="E797" s="302">
        <f t="shared" si="343"/>
        <v>0.55518887243933368</v>
      </c>
      <c r="F797" s="303"/>
      <c r="G797" s="302">
        <v>0.17292839533776738</v>
      </c>
      <c r="H797" s="302">
        <v>8.5343448586009035E-2</v>
      </c>
      <c r="I797" s="302">
        <v>1.1227624565281227E-2</v>
      </c>
      <c r="J797" s="302">
        <f t="shared" si="346"/>
        <v>0.26949946848905765</v>
      </c>
      <c r="K797" s="303"/>
      <c r="L797" s="302">
        <v>0.19555385023253571</v>
      </c>
      <c r="M797" s="302">
        <v>0.14160748656375011</v>
      </c>
      <c r="N797" s="302">
        <v>1.1222144111577776E-2</v>
      </c>
      <c r="O797" s="302">
        <f t="shared" si="345"/>
        <v>0.34838348090786359</v>
      </c>
    </row>
    <row r="798" spans="1:15" s="236" customFormat="1" x14ac:dyDescent="0.2">
      <c r="A798" s="237" t="str">
        <f>name!E$11</f>
        <v>Process, plant and machine operatives</v>
      </c>
      <c r="B798" s="302">
        <v>0.22561005359183584</v>
      </c>
      <c r="C798" s="302">
        <v>5.5043544036671346E-2</v>
      </c>
      <c r="D798" s="302">
        <v>5.1763940334717477E-2</v>
      </c>
      <c r="E798" s="302">
        <f t="shared" si="343"/>
        <v>0.33241753796322465</v>
      </c>
      <c r="F798" s="303"/>
      <c r="G798" s="302">
        <v>7.6570870365910815E-2</v>
      </c>
      <c r="H798" s="302">
        <v>5.7995913491429033E-2</v>
      </c>
      <c r="I798" s="302">
        <v>1.4522609478785486E-2</v>
      </c>
      <c r="J798" s="302">
        <f t="shared" si="346"/>
        <v>0.14908939333612531</v>
      </c>
      <c r="K798" s="303"/>
      <c r="L798" s="302">
        <v>8.6737084085978161E-2</v>
      </c>
      <c r="M798" s="302">
        <v>7.8941370071528599E-2</v>
      </c>
      <c r="N798" s="302">
        <v>1.9143607841734238E-2</v>
      </c>
      <c r="O798" s="302">
        <f t="shared" si="345"/>
        <v>0.18482206199924101</v>
      </c>
    </row>
    <row r="799" spans="1:15" s="236" customFormat="1" x14ac:dyDescent="0.2">
      <c r="A799" s="237" t="str">
        <f>name!E$12</f>
        <v>Elementary occupations</v>
      </c>
      <c r="B799" s="302">
        <v>1.1959430203111203</v>
      </c>
      <c r="C799" s="302">
        <v>0.53878557648156433</v>
      </c>
      <c r="D799" s="302">
        <v>0.32278956159999284</v>
      </c>
      <c r="E799" s="302">
        <f t="shared" si="343"/>
        <v>2.0575181583926776</v>
      </c>
      <c r="F799" s="303"/>
      <c r="G799" s="302">
        <v>0.45417214115210891</v>
      </c>
      <c r="H799" s="302">
        <v>0.37256866523829457</v>
      </c>
      <c r="I799" s="302">
        <v>0.10591592683648778</v>
      </c>
      <c r="J799" s="302">
        <f t="shared" si="346"/>
        <v>0.93265673322689124</v>
      </c>
      <c r="K799" s="303"/>
      <c r="L799" s="302">
        <v>0.53195563091592113</v>
      </c>
      <c r="M799" s="302">
        <v>0.28761042284262806</v>
      </c>
      <c r="N799" s="302">
        <v>0.17266267429663679</v>
      </c>
      <c r="O799" s="302">
        <f t="shared" si="345"/>
        <v>0.99222872805518603</v>
      </c>
    </row>
    <row r="800" spans="1:15" s="236" customFormat="1" x14ac:dyDescent="0.2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2">
      <c r="A801" s="244" t="s">
        <v>32</v>
      </c>
      <c r="B801" s="311">
        <f>SUM(B791:B799)</f>
        <v>9.5629999999379258</v>
      </c>
      <c r="C801" s="311">
        <f t="shared" ref="C801:E801" si="347">SUM(C791:C799)</f>
        <v>1.5050000000064578</v>
      </c>
      <c r="D801" s="311">
        <f t="shared" si="347"/>
        <v>1.8810000000229463</v>
      </c>
      <c r="E801" s="311">
        <f t="shared" si="347"/>
        <v>12.948999999967331</v>
      </c>
      <c r="F801" s="311"/>
      <c r="G801" s="311">
        <f t="shared" ref="G801:J801" si="348">SUM(G791:G799)</f>
        <v>4.5769999999525677</v>
      </c>
      <c r="H801" s="311">
        <f t="shared" si="348"/>
        <v>1.0790000000037097</v>
      </c>
      <c r="I801" s="311">
        <f t="shared" si="348"/>
        <v>0.57699999999671769</v>
      </c>
      <c r="J801" s="311">
        <f t="shared" si="348"/>
        <v>6.2329999999529937</v>
      </c>
      <c r="K801" s="311"/>
      <c r="L801" s="311">
        <f t="shared" ref="L801:O801" si="349">SUM(L791:L799)</f>
        <v>5.2539999999622635</v>
      </c>
      <c r="M801" s="311">
        <f t="shared" si="349"/>
        <v>1.1930000000118723</v>
      </c>
      <c r="N801" s="311">
        <f t="shared" si="349"/>
        <v>0.65900000000250736</v>
      </c>
      <c r="O801" s="311">
        <f t="shared" si="349"/>
        <v>7.1059999999766434</v>
      </c>
    </row>
    <row r="802" spans="1:15" s="236" customFormat="1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2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2">
      <c r="A805" s="241" t="str">
        <f>name!A50</f>
        <v>Financial services</v>
      </c>
      <c r="B805" s="374">
        <f>$B$6</f>
        <v>2015</v>
      </c>
      <c r="C805" s="374"/>
      <c r="D805" s="374"/>
      <c r="E805" s="374"/>
      <c r="F805" s="263"/>
      <c r="G805" s="374">
        <f>$G$6</f>
        <v>2020</v>
      </c>
      <c r="H805" s="374"/>
      <c r="I805" s="374"/>
      <c r="J805" s="374"/>
      <c r="K805" s="263"/>
      <c r="L805" s="374">
        <f>$L$6</f>
        <v>2035</v>
      </c>
      <c r="M805" s="374"/>
      <c r="N805" s="374"/>
      <c r="O805" s="374"/>
    </row>
    <row r="806" spans="1:15" s="236" customFormat="1" x14ac:dyDescent="0.2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2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2">
      <c r="A808" s="237" t="str">
        <f>name!E$4</f>
        <v>Managers, directors and senior officials</v>
      </c>
      <c r="B808" s="302">
        <v>6.266682023995215</v>
      </c>
      <c r="C808" s="302">
        <v>0.65192914937671087</v>
      </c>
      <c r="D808" s="302">
        <v>0.595910009417429</v>
      </c>
      <c r="E808" s="302">
        <f>SUM(B808:D808)</f>
        <v>7.5145211827893554</v>
      </c>
      <c r="F808" s="303"/>
      <c r="G808" s="302">
        <v>6.5977496148979329</v>
      </c>
      <c r="H808" s="302">
        <v>0.72572115404130899</v>
      </c>
      <c r="I808" s="302">
        <v>0.19612601240067978</v>
      </c>
      <c r="J808" s="302">
        <f>SUM(G808:I808)</f>
        <v>7.5195967813399216</v>
      </c>
      <c r="K808" s="303"/>
      <c r="L808" s="302">
        <v>6.4131024313857559</v>
      </c>
      <c r="M808" s="302">
        <v>0.86249388298160445</v>
      </c>
      <c r="N808" s="302">
        <v>0.21745353600206477</v>
      </c>
      <c r="O808" s="302">
        <f>SUM(L808:N808)</f>
        <v>7.4930498503694256</v>
      </c>
    </row>
    <row r="809" spans="1:15" s="236" customFormat="1" x14ac:dyDescent="0.2">
      <c r="A809" s="237" t="str">
        <f>name!E$5</f>
        <v>Professional occupations</v>
      </c>
      <c r="B809" s="302">
        <v>7.0172670658343232</v>
      </c>
      <c r="C809" s="302">
        <v>0.42023008917961163</v>
      </c>
      <c r="D809" s="302">
        <v>0.76018910091286429</v>
      </c>
      <c r="E809" s="302">
        <f t="shared" ref="E809:E816" si="350">SUM(B809:D809)</f>
        <v>8.1976862559267989</v>
      </c>
      <c r="F809" s="303"/>
      <c r="G809" s="302">
        <v>8.5044674217747307</v>
      </c>
      <c r="H809" s="302">
        <v>0.42238372736904389</v>
      </c>
      <c r="I809" s="302">
        <v>0.22409989117994275</v>
      </c>
      <c r="J809" s="302">
        <f t="shared" ref="J809:J811" si="351">SUM(G809:I809)</f>
        <v>9.1509510403237169</v>
      </c>
      <c r="K809" s="303"/>
      <c r="L809" s="302">
        <v>9.8601856767129608</v>
      </c>
      <c r="M809" s="302">
        <v>0.50321334965033349</v>
      </c>
      <c r="N809" s="302">
        <v>0.20067933615027356</v>
      </c>
      <c r="O809" s="302">
        <f t="shared" ref="O809:O816" si="352">SUM(L809:N809)</f>
        <v>10.564078362513568</v>
      </c>
    </row>
    <row r="810" spans="1:15" s="236" customFormat="1" x14ac:dyDescent="0.2">
      <c r="A810" s="237" t="str">
        <f>name!E$6</f>
        <v>Associate professional occupations</v>
      </c>
      <c r="B810" s="302">
        <v>6.1816712607759197</v>
      </c>
      <c r="C810" s="302">
        <v>0.96563793381739216</v>
      </c>
      <c r="D810" s="302">
        <v>0.57385288633565334</v>
      </c>
      <c r="E810" s="302">
        <f t="shared" si="350"/>
        <v>7.7211620809289654</v>
      </c>
      <c r="F810" s="303"/>
      <c r="G810" s="302">
        <v>6.5773590886578113</v>
      </c>
      <c r="H810" s="302">
        <v>0.79205382340127906</v>
      </c>
      <c r="I810" s="302">
        <v>0.15385966412916555</v>
      </c>
      <c r="J810" s="302">
        <f t="shared" si="351"/>
        <v>7.5232725761882557</v>
      </c>
      <c r="K810" s="303"/>
      <c r="L810" s="302">
        <v>5.880372770016276</v>
      </c>
      <c r="M810" s="302">
        <v>0.8712615201181515</v>
      </c>
      <c r="N810" s="302">
        <v>0.13201667867440597</v>
      </c>
      <c r="O810" s="302">
        <f t="shared" si="352"/>
        <v>6.8836509688088334</v>
      </c>
    </row>
    <row r="811" spans="1:15" s="236" customFormat="1" x14ac:dyDescent="0.2">
      <c r="A811" s="237" t="str">
        <f>name!E$7</f>
        <v>Administrative and secretarial occupations</v>
      </c>
      <c r="B811" s="302">
        <v>8.5031216982721869</v>
      </c>
      <c r="C811" s="302">
        <v>5.2293902790174087</v>
      </c>
      <c r="D811" s="302">
        <v>9.5004689498183165E-2</v>
      </c>
      <c r="E811" s="302">
        <f t="shared" si="350"/>
        <v>13.827516666787778</v>
      </c>
      <c r="F811" s="303"/>
      <c r="G811" s="302">
        <v>7.7455913818129467</v>
      </c>
      <c r="H811" s="302">
        <v>3.8847576713519909</v>
      </c>
      <c r="I811" s="302">
        <v>3.1899900924782253E-2</v>
      </c>
      <c r="J811" s="302">
        <f t="shared" si="351"/>
        <v>11.662248954089721</v>
      </c>
      <c r="K811" s="303"/>
      <c r="L811" s="302">
        <v>5.9069693431614327</v>
      </c>
      <c r="M811" s="302">
        <v>3.0016842235886427</v>
      </c>
      <c r="N811" s="302">
        <v>3.6564080467420781E-2</v>
      </c>
      <c r="O811" s="302">
        <f t="shared" si="352"/>
        <v>8.9452176472174969</v>
      </c>
    </row>
    <row r="812" spans="1:15" s="236" customFormat="1" x14ac:dyDescent="0.2">
      <c r="A812" s="237" t="str">
        <f>name!E$8</f>
        <v>Skilled trades occupations</v>
      </c>
      <c r="B812" s="302">
        <v>0.44191144670421034</v>
      </c>
      <c r="C812" s="302">
        <v>5.6888824168622794E-2</v>
      </c>
      <c r="D812" s="302">
        <v>0.15325926282928171</v>
      </c>
      <c r="E812" s="302">
        <f t="shared" si="350"/>
        <v>0.65205953370211489</v>
      </c>
      <c r="F812" s="303"/>
      <c r="G812" s="302">
        <v>0.32880331325099671</v>
      </c>
      <c r="H812" s="302">
        <v>2.2462439178683569E-2</v>
      </c>
      <c r="I812" s="302">
        <v>3.6612306319025054E-2</v>
      </c>
      <c r="J812" s="302">
        <f>SUM(G812:I812)</f>
        <v>0.38787805874870535</v>
      </c>
      <c r="K812" s="303"/>
      <c r="L812" s="302">
        <v>0.31468401174953242</v>
      </c>
      <c r="M812" s="302">
        <v>4.4540352667687369E-2</v>
      </c>
      <c r="N812" s="302">
        <v>4.45633419766953E-2</v>
      </c>
      <c r="O812" s="302">
        <f t="shared" si="352"/>
        <v>0.40378770639391509</v>
      </c>
    </row>
    <row r="813" spans="1:15" s="236" customFormat="1" x14ac:dyDescent="0.2">
      <c r="A813" s="237" t="str">
        <f>name!E$9</f>
        <v>Caring, leisure and other service occupations</v>
      </c>
      <c r="B813" s="302">
        <v>6.2036114204479499E-2</v>
      </c>
      <c r="C813" s="302">
        <v>2.968326655596374E-2</v>
      </c>
      <c r="D813" s="302">
        <v>3.2553954820908615E-2</v>
      </c>
      <c r="E813" s="302">
        <f t="shared" si="350"/>
        <v>0.12427333558135185</v>
      </c>
      <c r="F813" s="303"/>
      <c r="G813" s="302">
        <v>5.451030352500856E-2</v>
      </c>
      <c r="H813" s="302">
        <v>1.808111458987928E-2</v>
      </c>
      <c r="I813" s="302">
        <v>1.582393545150983E-2</v>
      </c>
      <c r="J813" s="302">
        <f t="shared" ref="J813:J816" si="353">SUM(G813:I813)</f>
        <v>8.8415353566397667E-2</v>
      </c>
      <c r="K813" s="303"/>
      <c r="L813" s="302">
        <v>5.2441974529642693E-2</v>
      </c>
      <c r="M813" s="302">
        <v>1.6363229074664237E-2</v>
      </c>
      <c r="N813" s="302">
        <v>2.4394981314502937E-2</v>
      </c>
      <c r="O813" s="302">
        <f t="shared" si="352"/>
        <v>9.3200184918809867E-2</v>
      </c>
    </row>
    <row r="814" spans="1:15" s="236" customFormat="1" x14ac:dyDescent="0.2">
      <c r="A814" s="237" t="str">
        <f>name!E$10</f>
        <v>Sales and customer service occupations</v>
      </c>
      <c r="B814" s="302">
        <v>1.7522714790147265</v>
      </c>
      <c r="C814" s="302">
        <v>1.3279856332017308</v>
      </c>
      <c r="D814" s="302">
        <v>0.19597632065974474</v>
      </c>
      <c r="E814" s="302">
        <f t="shared" si="350"/>
        <v>3.2762334328762019</v>
      </c>
      <c r="F814" s="303"/>
      <c r="G814" s="302">
        <v>1.5578694819538803</v>
      </c>
      <c r="H814" s="302">
        <v>1.1188293513504814</v>
      </c>
      <c r="I814" s="302">
        <v>0.14022643600227183</v>
      </c>
      <c r="J814" s="302">
        <f t="shared" si="353"/>
        <v>2.8169252693066333</v>
      </c>
      <c r="K814" s="303"/>
      <c r="L814" s="302">
        <v>1.6823020089963316</v>
      </c>
      <c r="M814" s="302">
        <v>1.3128357789953939</v>
      </c>
      <c r="N814" s="302">
        <v>0.11974912097237722</v>
      </c>
      <c r="O814" s="302">
        <f t="shared" si="352"/>
        <v>3.1148869089641029</v>
      </c>
    </row>
    <row r="815" spans="1:15" s="236" customFormat="1" x14ac:dyDescent="0.2">
      <c r="A815" s="237" t="str">
        <f>name!E$11</f>
        <v>Process, plant and machine operatives</v>
      </c>
      <c r="B815" s="302">
        <v>0.12700757263429746</v>
      </c>
      <c r="C815" s="302">
        <v>3.9641358331571057E-2</v>
      </c>
      <c r="D815" s="302">
        <v>5.5316868130211416E-2</v>
      </c>
      <c r="E815" s="302">
        <f t="shared" si="350"/>
        <v>0.22196579909607994</v>
      </c>
      <c r="F815" s="303"/>
      <c r="G815" s="302">
        <v>8.9874645213900081E-2</v>
      </c>
      <c r="H815" s="302">
        <v>1.5646279956015016E-2</v>
      </c>
      <c r="I815" s="302">
        <v>1.790379303083079E-2</v>
      </c>
      <c r="J815" s="302">
        <f t="shared" si="353"/>
        <v>0.12342471820074588</v>
      </c>
      <c r="K815" s="303"/>
      <c r="L815" s="302">
        <v>8.8142606899459214E-2</v>
      </c>
      <c r="M815" s="302">
        <v>2.8942865566995997E-2</v>
      </c>
      <c r="N815" s="302">
        <v>2.7943743583810299E-2</v>
      </c>
      <c r="O815" s="302">
        <f t="shared" si="352"/>
        <v>0.1450292160502655</v>
      </c>
    </row>
    <row r="816" spans="1:15" s="236" customFormat="1" x14ac:dyDescent="0.2">
      <c r="A816" s="237" t="str">
        <f>name!E$12</f>
        <v>Elementary occupations</v>
      </c>
      <c r="B816" s="302">
        <v>0.30403133832531787</v>
      </c>
      <c r="C816" s="302">
        <v>0.11961346632529778</v>
      </c>
      <c r="D816" s="302">
        <v>2.293690743144338E-2</v>
      </c>
      <c r="E816" s="302">
        <f t="shared" si="350"/>
        <v>0.44658171208205905</v>
      </c>
      <c r="F816" s="303"/>
      <c r="G816" s="302">
        <v>0.2277747483834428</v>
      </c>
      <c r="H816" s="302">
        <v>4.9064438819188115E-2</v>
      </c>
      <c r="I816" s="302">
        <v>2.8448060561000788E-2</v>
      </c>
      <c r="J816" s="302">
        <f t="shared" si="353"/>
        <v>0.3052872477636317</v>
      </c>
      <c r="K816" s="303"/>
      <c r="L816" s="302">
        <v>0.19579917630540691</v>
      </c>
      <c r="M816" s="302">
        <v>3.9664797362949214E-2</v>
      </c>
      <c r="N816" s="302">
        <v>3.3635180871979919E-2</v>
      </c>
      <c r="O816" s="302">
        <f t="shared" si="352"/>
        <v>0.26909915454033606</v>
      </c>
    </row>
    <row r="817" spans="1:15" s="236" customFormat="1" x14ac:dyDescent="0.2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2">
      <c r="A818" s="244" t="s">
        <v>32</v>
      </c>
      <c r="B818" s="311">
        <f>SUM(B808:B816)</f>
        <v>30.655999999760674</v>
      </c>
      <c r="C818" s="311">
        <f t="shared" ref="C818:E818" si="354">SUM(C808:C816)</f>
        <v>8.8409999999743079</v>
      </c>
      <c r="D818" s="311">
        <f t="shared" si="354"/>
        <v>2.4850000000357202</v>
      </c>
      <c r="E818" s="311">
        <f t="shared" si="354"/>
        <v>41.981999999770707</v>
      </c>
      <c r="F818" s="311"/>
      <c r="G818" s="311">
        <f t="shared" ref="G818:J818" si="355">SUM(G808:G816)</f>
        <v>31.68399999947065</v>
      </c>
      <c r="H818" s="311">
        <f t="shared" si="355"/>
        <v>7.0490000000578705</v>
      </c>
      <c r="I818" s="311">
        <f t="shared" si="355"/>
        <v>0.8449999999992085</v>
      </c>
      <c r="J818" s="311">
        <f t="shared" si="355"/>
        <v>39.577999999527727</v>
      </c>
      <c r="K818" s="311"/>
      <c r="L818" s="311">
        <f t="shared" ref="L818:O818" si="356">SUM(L808:L816)</f>
        <v>30.393999999756797</v>
      </c>
      <c r="M818" s="311">
        <f t="shared" si="356"/>
        <v>6.6810000000064234</v>
      </c>
      <c r="N818" s="311">
        <f t="shared" si="356"/>
        <v>0.8370000000135307</v>
      </c>
      <c r="O818" s="311">
        <f t="shared" si="356"/>
        <v>37.911999999776754</v>
      </c>
    </row>
    <row r="819" spans="1:15" s="236" customFormat="1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2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2">
      <c r="A822" s="241" t="str">
        <f>name!A51</f>
        <v>Insurance and pensions</v>
      </c>
      <c r="B822" s="374">
        <f>$B$6</f>
        <v>2015</v>
      </c>
      <c r="C822" s="374"/>
      <c r="D822" s="374"/>
      <c r="E822" s="374"/>
      <c r="F822" s="263"/>
      <c r="G822" s="374">
        <f>$G$6</f>
        <v>2020</v>
      </c>
      <c r="H822" s="374"/>
      <c r="I822" s="374"/>
      <c r="J822" s="374"/>
      <c r="K822" s="263"/>
      <c r="L822" s="374">
        <f>$L$6</f>
        <v>2035</v>
      </c>
      <c r="M822" s="374"/>
      <c r="N822" s="374"/>
      <c r="O822" s="374"/>
    </row>
    <row r="823" spans="1:15" s="236" customFormat="1" x14ac:dyDescent="0.2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2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2">
      <c r="A825" s="237" t="str">
        <f>name!E$4</f>
        <v>Managers, directors and senior officials</v>
      </c>
      <c r="B825" s="302">
        <v>0.83879034312373069</v>
      </c>
      <c r="C825" s="302">
        <v>7.8791839844554235E-2</v>
      </c>
      <c r="D825" s="302">
        <v>7.4703703734002633E-2</v>
      </c>
      <c r="E825" s="302">
        <f>SUM(B825:D825)</f>
        <v>0.99228588670228746</v>
      </c>
      <c r="F825" s="303"/>
      <c r="G825" s="302">
        <v>1.0642773518373854</v>
      </c>
      <c r="H825" s="302">
        <v>0.13423171192861105</v>
      </c>
      <c r="I825" s="302">
        <v>3.9283387573557947E-2</v>
      </c>
      <c r="J825" s="302">
        <f>SUM(G825:I825)</f>
        <v>1.2377924513395544</v>
      </c>
      <c r="K825" s="303"/>
      <c r="L825" s="302">
        <v>1.034644041150985</v>
      </c>
      <c r="M825" s="302">
        <v>0.15131542262140291</v>
      </c>
      <c r="N825" s="302">
        <v>3.4395066762746423E-2</v>
      </c>
      <c r="O825" s="302">
        <f>SUM(L825:N825)</f>
        <v>1.2203545305351342</v>
      </c>
    </row>
    <row r="826" spans="1:15" s="236" customFormat="1" x14ac:dyDescent="0.2">
      <c r="A826" s="237" t="str">
        <f>name!E$5</f>
        <v>Professional occupations</v>
      </c>
      <c r="B826" s="302">
        <v>1.6011677170779655</v>
      </c>
      <c r="C826" s="302">
        <v>0.12499926893579473</v>
      </c>
      <c r="D826" s="302">
        <v>7.5678291060665911E-2</v>
      </c>
      <c r="E826" s="302">
        <f t="shared" ref="E826:E833" si="357">SUM(B826:D826)</f>
        <v>1.8018452770744262</v>
      </c>
      <c r="F826" s="303"/>
      <c r="G826" s="302">
        <v>2.3526911255213236</v>
      </c>
      <c r="H826" s="302">
        <v>0.20621421064108689</v>
      </c>
      <c r="I826" s="302">
        <v>3.5017440620524649E-2</v>
      </c>
      <c r="J826" s="302">
        <f t="shared" ref="J826:J828" si="358">SUM(G826:I826)</f>
        <v>2.5939227767829354</v>
      </c>
      <c r="K826" s="303"/>
      <c r="L826" s="302">
        <v>2.7398531213710227</v>
      </c>
      <c r="M826" s="302">
        <v>0.22531618806656417</v>
      </c>
      <c r="N826" s="302">
        <v>2.7674672526656698E-2</v>
      </c>
      <c r="O826" s="302">
        <f t="shared" ref="O826:O833" si="359">SUM(L826:N826)</f>
        <v>2.9928439819642438</v>
      </c>
    </row>
    <row r="827" spans="1:15" s="236" customFormat="1" x14ac:dyDescent="0.2">
      <c r="A827" s="237" t="str">
        <f>name!E$6</f>
        <v>Associate professional occupations</v>
      </c>
      <c r="B827" s="302">
        <v>1.6854131250160485</v>
      </c>
      <c r="C827" s="302">
        <v>0.24960907497946191</v>
      </c>
      <c r="D827" s="302">
        <v>0.15837032530691833</v>
      </c>
      <c r="E827" s="302">
        <f t="shared" si="357"/>
        <v>2.0933925253024288</v>
      </c>
      <c r="F827" s="303"/>
      <c r="G827" s="302">
        <v>2.1424914953125214</v>
      </c>
      <c r="H827" s="302">
        <v>0.32489115918623562</v>
      </c>
      <c r="I827" s="302">
        <v>6.1192326400592884E-2</v>
      </c>
      <c r="J827" s="302">
        <f t="shared" si="358"/>
        <v>2.5285749808993501</v>
      </c>
      <c r="K827" s="303"/>
      <c r="L827" s="302">
        <v>1.8544161775030175</v>
      </c>
      <c r="M827" s="302">
        <v>0.33552866150739646</v>
      </c>
      <c r="N827" s="302">
        <v>3.7793688262591725E-2</v>
      </c>
      <c r="O827" s="302">
        <f t="shared" si="359"/>
        <v>2.2277385272730053</v>
      </c>
    </row>
    <row r="828" spans="1:15" s="236" customFormat="1" x14ac:dyDescent="0.2">
      <c r="A828" s="237" t="str">
        <f>name!E$7</f>
        <v>Administrative and secretarial occupations</v>
      </c>
      <c r="B828" s="302">
        <v>1.8117960826615582</v>
      </c>
      <c r="C828" s="302">
        <v>0.36241590092292775</v>
      </c>
      <c r="D828" s="302">
        <v>3.9667685920832779E-2</v>
      </c>
      <c r="E828" s="302">
        <f t="shared" si="357"/>
        <v>2.2138796695053187</v>
      </c>
      <c r="F828" s="303"/>
      <c r="G828" s="302">
        <v>2.0270406332917092</v>
      </c>
      <c r="H828" s="302">
        <v>0.44230751187968814</v>
      </c>
      <c r="I828" s="302">
        <v>1.4724919613847299E-2</v>
      </c>
      <c r="J828" s="302">
        <f t="shared" si="358"/>
        <v>2.4840730647852447</v>
      </c>
      <c r="K828" s="303"/>
      <c r="L828" s="302">
        <v>1.515910579220938</v>
      </c>
      <c r="M828" s="302">
        <v>0.31120682242597553</v>
      </c>
      <c r="N828" s="302">
        <v>1.47165773668492E-2</v>
      </c>
      <c r="O828" s="302">
        <f t="shared" si="359"/>
        <v>1.8418339790137626</v>
      </c>
    </row>
    <row r="829" spans="1:15" s="236" customFormat="1" x14ac:dyDescent="0.2">
      <c r="A829" s="237" t="str">
        <f>name!E$8</f>
        <v>Skilled trades occupations</v>
      </c>
      <c r="B829" s="302">
        <v>0.14320611328979183</v>
      </c>
      <c r="C829" s="302">
        <v>1.1971895326716588E-2</v>
      </c>
      <c r="D829" s="302">
        <v>0.14129865572988093</v>
      </c>
      <c r="E829" s="302">
        <f t="shared" si="357"/>
        <v>0.29647666434638931</v>
      </c>
      <c r="F829" s="303"/>
      <c r="G829" s="302">
        <v>0.14211130794707283</v>
      </c>
      <c r="H829" s="302">
        <v>8.4342538108695287E-3</v>
      </c>
      <c r="I829" s="302">
        <v>5.4849815787452787E-2</v>
      </c>
      <c r="J829" s="302">
        <f>SUM(G829:I829)</f>
        <v>0.20539537754539516</v>
      </c>
      <c r="K829" s="303"/>
      <c r="L829" s="302">
        <v>0.14398025222161984</v>
      </c>
      <c r="M829" s="302">
        <v>9.6255399375254451E-3</v>
      </c>
      <c r="N829" s="302">
        <v>5.5957106514963724E-2</v>
      </c>
      <c r="O829" s="302">
        <f t="shared" si="359"/>
        <v>0.20956289867410899</v>
      </c>
    </row>
    <row r="830" spans="1:15" s="236" customFormat="1" x14ac:dyDescent="0.2">
      <c r="A830" s="237" t="str">
        <f>name!E$9</f>
        <v>Caring, leisure and other service occupations</v>
      </c>
      <c r="B830" s="302">
        <v>0.29291276107446512</v>
      </c>
      <c r="C830" s="302">
        <v>1.3364225864683015E-2</v>
      </c>
      <c r="D830" s="302">
        <v>4.5470990078748889E-3</v>
      </c>
      <c r="E830" s="302">
        <f t="shared" si="357"/>
        <v>0.31082408594702299</v>
      </c>
      <c r="F830" s="303"/>
      <c r="G830" s="302">
        <v>0.32234892242934421</v>
      </c>
      <c r="H830" s="302">
        <v>1.131369153968435E-2</v>
      </c>
      <c r="I830" s="302">
        <v>8.0275045522571527E-3</v>
      </c>
      <c r="J830" s="302">
        <f t="shared" ref="J830:J833" si="360">SUM(G830:I830)</f>
        <v>0.34169011852128572</v>
      </c>
      <c r="K830" s="303"/>
      <c r="L830" s="302">
        <v>0.37494927909826037</v>
      </c>
      <c r="M830" s="302">
        <v>9.5241521364328053E-3</v>
      </c>
      <c r="N830" s="302">
        <v>5.9621472421187947E-3</v>
      </c>
      <c r="O830" s="302">
        <f t="shared" si="359"/>
        <v>0.39043557847681198</v>
      </c>
    </row>
    <row r="831" spans="1:15" s="236" customFormat="1" x14ac:dyDescent="0.2">
      <c r="A831" s="237" t="str">
        <f>name!E$10</f>
        <v>Sales and customer service occupations</v>
      </c>
      <c r="B831" s="302">
        <v>0.81066204625661975</v>
      </c>
      <c r="C831" s="302">
        <v>0.22908277400720614</v>
      </c>
      <c r="D831" s="302">
        <v>5.204597020743866E-2</v>
      </c>
      <c r="E831" s="302">
        <f t="shared" si="357"/>
        <v>1.0917907904712647</v>
      </c>
      <c r="F831" s="303"/>
      <c r="G831" s="302">
        <v>0.86235022023485242</v>
      </c>
      <c r="H831" s="302">
        <v>0.2847319189875967</v>
      </c>
      <c r="I831" s="302">
        <v>1.740366462800829E-2</v>
      </c>
      <c r="J831" s="302">
        <f t="shared" si="360"/>
        <v>1.1644858038504573</v>
      </c>
      <c r="K831" s="303"/>
      <c r="L831" s="302">
        <v>0.8907022335174315</v>
      </c>
      <c r="M831" s="302">
        <v>0.30019930888022078</v>
      </c>
      <c r="N831" s="302">
        <v>1.2204494580001701E-2</v>
      </c>
      <c r="O831" s="302">
        <f t="shared" si="359"/>
        <v>1.2031060369776541</v>
      </c>
    </row>
    <row r="832" spans="1:15" s="236" customFormat="1" x14ac:dyDescent="0.2">
      <c r="A832" s="237" t="str">
        <f>name!E$11</f>
        <v>Process, plant and machine operatives</v>
      </c>
      <c r="B832" s="302">
        <v>4.9989658127345495E-2</v>
      </c>
      <c r="C832" s="302">
        <v>9.332334828955539E-3</v>
      </c>
      <c r="D832" s="302">
        <v>9.9253139301242188E-3</v>
      </c>
      <c r="E832" s="302">
        <f t="shared" si="357"/>
        <v>6.9247306886425247E-2</v>
      </c>
      <c r="F832" s="303"/>
      <c r="G832" s="302">
        <v>4.2644137296221352E-2</v>
      </c>
      <c r="H832" s="302">
        <v>7.8772309702935615E-3</v>
      </c>
      <c r="I832" s="302">
        <v>5.5602316945589153E-3</v>
      </c>
      <c r="J832" s="302">
        <f t="shared" si="360"/>
        <v>5.6081599961073827E-2</v>
      </c>
      <c r="K832" s="303"/>
      <c r="L832" s="302">
        <v>4.1086436993337271E-2</v>
      </c>
      <c r="M832" s="302">
        <v>1.2319267848058727E-2</v>
      </c>
      <c r="N832" s="302">
        <v>6.6717427745201776E-3</v>
      </c>
      <c r="O832" s="302">
        <f t="shared" si="359"/>
        <v>6.0077447615916178E-2</v>
      </c>
    </row>
    <row r="833" spans="1:15" s="236" customFormat="1" x14ac:dyDescent="0.2">
      <c r="A833" s="237" t="str">
        <f>name!E$12</f>
        <v>Elementary occupations</v>
      </c>
      <c r="B833" s="302">
        <v>0.1010621533257659</v>
      </c>
      <c r="C833" s="302">
        <v>3.3432685289090727E-2</v>
      </c>
      <c r="D833" s="302">
        <v>5.7629551085127415E-3</v>
      </c>
      <c r="E833" s="302">
        <f t="shared" si="357"/>
        <v>0.14025779372336936</v>
      </c>
      <c r="F833" s="303"/>
      <c r="G833" s="302">
        <v>9.2044805998324639E-2</v>
      </c>
      <c r="H833" s="302">
        <v>2.4998311063115699E-2</v>
      </c>
      <c r="I833" s="302">
        <v>5.9407091285396821E-3</v>
      </c>
      <c r="J833" s="302">
        <f t="shared" si="360"/>
        <v>0.12298382618998002</v>
      </c>
      <c r="K833" s="303"/>
      <c r="L833" s="302">
        <v>8.2457878872248244E-2</v>
      </c>
      <c r="M833" s="302">
        <v>1.7964636581080041E-2</v>
      </c>
      <c r="N833" s="302">
        <v>5.6245039711257279E-3</v>
      </c>
      <c r="O833" s="302">
        <f t="shared" si="359"/>
        <v>0.10604701942445401</v>
      </c>
    </row>
    <row r="834" spans="1:15" s="236" customFormat="1" x14ac:dyDescent="0.2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2">
      <c r="A835" s="244" t="s">
        <v>32</v>
      </c>
      <c r="B835" s="311">
        <f>SUM(B825:B833)</f>
        <v>7.3349999999532915</v>
      </c>
      <c r="C835" s="311">
        <f t="shared" ref="C835:E835" si="361">SUM(C825:C833)</f>
        <v>1.1129999999993907</v>
      </c>
      <c r="D835" s="311">
        <f t="shared" si="361"/>
        <v>0.56200000000625105</v>
      </c>
      <c r="E835" s="311">
        <f t="shared" si="361"/>
        <v>9.0099999999589322</v>
      </c>
      <c r="F835" s="311"/>
      <c r="G835" s="311">
        <f t="shared" ref="G835:J835" si="362">SUM(G825:G833)</f>
        <v>9.0479999998687557</v>
      </c>
      <c r="H835" s="311">
        <f t="shared" si="362"/>
        <v>1.4450000000071817</v>
      </c>
      <c r="I835" s="311">
        <f t="shared" si="362"/>
        <v>0.24199999999933963</v>
      </c>
      <c r="J835" s="311">
        <f t="shared" si="362"/>
        <v>10.734999999875276</v>
      </c>
      <c r="K835" s="311"/>
      <c r="L835" s="311">
        <f t="shared" ref="L835:O835" si="363">SUM(L825:L833)</f>
        <v>8.6779999999488595</v>
      </c>
      <c r="M835" s="311">
        <f t="shared" si="363"/>
        <v>1.3730000000046569</v>
      </c>
      <c r="N835" s="311">
        <f t="shared" si="363"/>
        <v>0.20100000000157417</v>
      </c>
      <c r="O835" s="311">
        <f t="shared" si="363"/>
        <v>10.251999999955091</v>
      </c>
    </row>
    <row r="836" spans="1:15" s="236" customFormat="1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2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2">
      <c r="A839" s="241" t="str">
        <f>name!A52</f>
        <v>Auxiliary financial services</v>
      </c>
      <c r="B839" s="374">
        <f>$B$6</f>
        <v>2015</v>
      </c>
      <c r="C839" s="374"/>
      <c r="D839" s="374"/>
      <c r="E839" s="374"/>
      <c r="F839" s="263"/>
      <c r="G839" s="374">
        <f>$G$6</f>
        <v>2020</v>
      </c>
      <c r="H839" s="374"/>
      <c r="I839" s="374"/>
      <c r="J839" s="374"/>
      <c r="K839" s="263"/>
      <c r="L839" s="374">
        <f>$L$6</f>
        <v>2035</v>
      </c>
      <c r="M839" s="374"/>
      <c r="N839" s="374"/>
      <c r="O839" s="374"/>
    </row>
    <row r="840" spans="1:15" s="236" customFormat="1" x14ac:dyDescent="0.2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2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2">
      <c r="A842" s="237" t="str">
        <f>name!E$4</f>
        <v>Managers, directors and senior officials</v>
      </c>
      <c r="B842" s="302">
        <v>5.6461777436155272</v>
      </c>
      <c r="C842" s="302">
        <v>0.35598166631131051</v>
      </c>
      <c r="D842" s="302">
        <v>0.40294234544655383</v>
      </c>
      <c r="E842" s="302">
        <f>SUM(B842:D842)</f>
        <v>6.4051017553733915</v>
      </c>
      <c r="F842" s="303"/>
      <c r="G842" s="302">
        <v>5.7263448632351395</v>
      </c>
      <c r="H842" s="302">
        <v>0.50780588082205724</v>
      </c>
      <c r="I842" s="302">
        <v>0.30249255768840738</v>
      </c>
      <c r="J842" s="302">
        <f>SUM(G842:I842)</f>
        <v>6.5366433017456043</v>
      </c>
      <c r="K842" s="303"/>
      <c r="L842" s="302">
        <v>5.6659734462234805</v>
      </c>
      <c r="M842" s="302">
        <v>0.59000361676808388</v>
      </c>
      <c r="N842" s="302">
        <v>0.35631286254198852</v>
      </c>
      <c r="O842" s="302">
        <f>SUM(L842:N842)</f>
        <v>6.6122899255335534</v>
      </c>
    </row>
    <row r="843" spans="1:15" s="236" customFormat="1" x14ac:dyDescent="0.2">
      <c r="A843" s="237" t="str">
        <f>name!E$5</f>
        <v>Professional occupations</v>
      </c>
      <c r="B843" s="302">
        <v>6.3809487208084272</v>
      </c>
      <c r="C843" s="302">
        <v>0.28949241466138464</v>
      </c>
      <c r="D843" s="302">
        <v>0.48262233661396398</v>
      </c>
      <c r="E843" s="302">
        <f t="shared" ref="E843:E850" si="364">SUM(B843:D843)</f>
        <v>7.153063472083776</v>
      </c>
      <c r="F843" s="303"/>
      <c r="G843" s="302">
        <v>7.6326957620585913</v>
      </c>
      <c r="H843" s="302">
        <v>0.41066137277774278</v>
      </c>
      <c r="I843" s="302">
        <v>0.33609700591216257</v>
      </c>
      <c r="J843" s="302">
        <f t="shared" ref="J843:J845" si="365">SUM(G843:I843)</f>
        <v>8.3794541407484964</v>
      </c>
      <c r="K843" s="303"/>
      <c r="L843" s="302">
        <v>9.1046399521803068</v>
      </c>
      <c r="M843" s="302">
        <v>0.46759550923515453</v>
      </c>
      <c r="N843" s="302">
        <v>0.36382729420129339</v>
      </c>
      <c r="O843" s="302">
        <f t="shared" ref="O843:O850" si="366">SUM(L843:N843)</f>
        <v>9.9360627556167547</v>
      </c>
    </row>
    <row r="844" spans="1:15" s="236" customFormat="1" x14ac:dyDescent="0.2">
      <c r="A844" s="237" t="str">
        <f>name!E$6</f>
        <v>Associate professional occupations</v>
      </c>
      <c r="B844" s="302">
        <v>8.1631316337177076</v>
      </c>
      <c r="C844" s="302">
        <v>0.59835026336317543</v>
      </c>
      <c r="D844" s="302">
        <v>0.81393007681461405</v>
      </c>
      <c r="E844" s="302">
        <f t="shared" si="364"/>
        <v>9.5754119738954966</v>
      </c>
      <c r="F844" s="303"/>
      <c r="G844" s="302">
        <v>8.3172278366947143</v>
      </c>
      <c r="H844" s="302">
        <v>0.70314451922226029</v>
      </c>
      <c r="I844" s="302">
        <v>0.54720133501246015</v>
      </c>
      <c r="J844" s="302">
        <f t="shared" si="365"/>
        <v>9.567573690929434</v>
      </c>
      <c r="K844" s="303"/>
      <c r="L844" s="302">
        <v>7.6127028617380805</v>
      </c>
      <c r="M844" s="302">
        <v>0.76831047694014398</v>
      </c>
      <c r="N844" s="302">
        <v>0.52807913398767858</v>
      </c>
      <c r="O844" s="302">
        <f t="shared" si="366"/>
        <v>8.9090924726659022</v>
      </c>
    </row>
    <row r="845" spans="1:15" s="236" customFormat="1" x14ac:dyDescent="0.2">
      <c r="A845" s="237" t="str">
        <f>name!E$7</f>
        <v>Administrative and secretarial occupations</v>
      </c>
      <c r="B845" s="302">
        <v>6.7910313273203791</v>
      </c>
      <c r="C845" s="302">
        <v>1.9234488502791447</v>
      </c>
      <c r="D845" s="302">
        <v>8.9155979919122122E-2</v>
      </c>
      <c r="E845" s="302">
        <f t="shared" si="364"/>
        <v>8.8036361575186461</v>
      </c>
      <c r="F845" s="303"/>
      <c r="G845" s="302">
        <v>5.823976231444294</v>
      </c>
      <c r="H845" s="302">
        <v>2.1092846841770374</v>
      </c>
      <c r="I845" s="302">
        <v>0.12302958049891759</v>
      </c>
      <c r="J845" s="302">
        <f t="shared" si="365"/>
        <v>8.0562904961202495</v>
      </c>
      <c r="K845" s="303"/>
      <c r="L845" s="302">
        <v>3.8265119325248738</v>
      </c>
      <c r="M845" s="302">
        <v>1.5768626586066785</v>
      </c>
      <c r="N845" s="302">
        <v>0.10240187528483388</v>
      </c>
      <c r="O845" s="302">
        <f t="shared" si="366"/>
        <v>5.5057764664163855</v>
      </c>
    </row>
    <row r="846" spans="1:15" s="236" customFormat="1" x14ac:dyDescent="0.2">
      <c r="A846" s="237" t="str">
        <f>name!E$8</f>
        <v>Skilled trades occupations</v>
      </c>
      <c r="B846" s="302">
        <v>0.39776466892916235</v>
      </c>
      <c r="C846" s="302">
        <v>0.14908748068682573</v>
      </c>
      <c r="D846" s="302">
        <v>0.256832123411744</v>
      </c>
      <c r="E846" s="302">
        <f t="shared" si="364"/>
        <v>0.80368427302773204</v>
      </c>
      <c r="F846" s="303"/>
      <c r="G846" s="302">
        <v>0.2912095457492076</v>
      </c>
      <c r="H846" s="302">
        <v>8.8288249049727513E-2</v>
      </c>
      <c r="I846" s="302">
        <v>0.10338821901509752</v>
      </c>
      <c r="J846" s="302">
        <f>SUM(G846:I846)</f>
        <v>0.48288601381403262</v>
      </c>
      <c r="K846" s="303"/>
      <c r="L846" s="302">
        <v>0.27755050326021247</v>
      </c>
      <c r="M846" s="302">
        <v>8.3650155639736393E-2</v>
      </c>
      <c r="N846" s="302">
        <v>0.11700799869236178</v>
      </c>
      <c r="O846" s="302">
        <f t="shared" si="366"/>
        <v>0.47820865759231063</v>
      </c>
    </row>
    <row r="847" spans="1:15" s="236" customFormat="1" x14ac:dyDescent="0.2">
      <c r="A847" s="237" t="str">
        <f>name!E$9</f>
        <v>Caring, leisure and other service occupations</v>
      </c>
      <c r="B847" s="302">
        <v>0.13658421519139483</v>
      </c>
      <c r="C847" s="302">
        <v>3.569073918441993E-2</v>
      </c>
      <c r="D847" s="302">
        <v>2.8242594511868974E-2</v>
      </c>
      <c r="E847" s="302">
        <f t="shared" si="364"/>
        <v>0.20051754888768372</v>
      </c>
      <c r="F847" s="303"/>
      <c r="G847" s="302">
        <v>0.11645711661216578</v>
      </c>
      <c r="H847" s="302">
        <v>2.9333626681998067E-2</v>
      </c>
      <c r="I847" s="302">
        <v>5.4360257437501891E-2</v>
      </c>
      <c r="J847" s="302">
        <f t="shared" ref="J847:J850" si="367">SUM(G847:I847)</f>
        <v>0.20015100073166572</v>
      </c>
      <c r="K847" s="303"/>
      <c r="L847" s="302">
        <v>0.13970217636640653</v>
      </c>
      <c r="M847" s="302">
        <v>2.3634495289635269E-2</v>
      </c>
      <c r="N847" s="302">
        <v>8.5773350466251869E-2</v>
      </c>
      <c r="O847" s="302">
        <f t="shared" si="366"/>
        <v>0.24911002212229366</v>
      </c>
    </row>
    <row r="848" spans="1:15" s="236" customFormat="1" x14ac:dyDescent="0.2">
      <c r="A848" s="237" t="str">
        <f>name!E$10</f>
        <v>Sales and customer service occupations</v>
      </c>
      <c r="B848" s="302">
        <v>1.4368130475945562</v>
      </c>
      <c r="C848" s="302">
        <v>0.48743977352993045</v>
      </c>
      <c r="D848" s="302">
        <v>5.2485949689207972E-2</v>
      </c>
      <c r="E848" s="302">
        <f t="shared" si="364"/>
        <v>1.9767387708136948</v>
      </c>
      <c r="F848" s="303"/>
      <c r="G848" s="302">
        <v>1.2349961725157368</v>
      </c>
      <c r="H848" s="302">
        <v>0.48652955756523714</v>
      </c>
      <c r="I848" s="302">
        <v>6.418985286216182E-2</v>
      </c>
      <c r="J848" s="302">
        <f t="shared" si="367"/>
        <v>1.7857155829431357</v>
      </c>
      <c r="K848" s="303"/>
      <c r="L848" s="302">
        <v>1.2734282063345177</v>
      </c>
      <c r="M848" s="302">
        <v>0.59778626369087329</v>
      </c>
      <c r="N848" s="302">
        <v>5.9669193266668433E-2</v>
      </c>
      <c r="O848" s="302">
        <f t="shared" si="366"/>
        <v>1.9308836632920594</v>
      </c>
    </row>
    <row r="849" spans="1:15" s="236" customFormat="1" x14ac:dyDescent="0.2">
      <c r="A849" s="237" t="str">
        <f>name!E$11</f>
        <v>Process, plant and machine operatives</v>
      </c>
      <c r="B849" s="302">
        <v>0.25006112827041183</v>
      </c>
      <c r="C849" s="302">
        <v>4.3109275111562324E-2</v>
      </c>
      <c r="D849" s="302">
        <v>0.13796014878091648</v>
      </c>
      <c r="E849" s="302">
        <f t="shared" si="364"/>
        <v>0.43113055216289065</v>
      </c>
      <c r="F849" s="303"/>
      <c r="G849" s="302">
        <v>0.17376670804984595</v>
      </c>
      <c r="H849" s="302">
        <v>2.7430438810443315E-2</v>
      </c>
      <c r="I849" s="302">
        <v>9.4470592965366224E-2</v>
      </c>
      <c r="J849" s="302">
        <f t="shared" si="367"/>
        <v>0.29566773982565553</v>
      </c>
      <c r="K849" s="303"/>
      <c r="L849" s="302">
        <v>0.21860448222366127</v>
      </c>
      <c r="M849" s="302">
        <v>6.5219325607173695E-2</v>
      </c>
      <c r="N849" s="302">
        <v>0.15146883458582855</v>
      </c>
      <c r="O849" s="302">
        <f t="shared" si="366"/>
        <v>0.43529264241666349</v>
      </c>
    </row>
    <row r="850" spans="1:15" s="236" customFormat="1" x14ac:dyDescent="0.2">
      <c r="A850" s="237" t="str">
        <f>name!E$12</f>
        <v>Elementary occupations</v>
      </c>
      <c r="B850" s="302">
        <v>0.66148751432683006</v>
      </c>
      <c r="C850" s="302">
        <v>0.18739953685962643</v>
      </c>
      <c r="D850" s="302">
        <v>9.2828444834606977E-2</v>
      </c>
      <c r="E850" s="302">
        <f t="shared" si="364"/>
        <v>0.94171549602106341</v>
      </c>
      <c r="F850" s="303"/>
      <c r="G850" s="302">
        <v>0.4493257631298303</v>
      </c>
      <c r="H850" s="302">
        <v>0.14552167091835716</v>
      </c>
      <c r="I850" s="302">
        <v>5.477059860732323E-2</v>
      </c>
      <c r="J850" s="302">
        <f t="shared" si="367"/>
        <v>0.64961803265551077</v>
      </c>
      <c r="K850" s="303"/>
      <c r="L850" s="302">
        <v>0.42688643894567907</v>
      </c>
      <c r="M850" s="302">
        <v>0.11893749823077231</v>
      </c>
      <c r="N850" s="302">
        <v>8.3459457002465584E-2</v>
      </c>
      <c r="O850" s="302">
        <f t="shared" si="366"/>
        <v>0.62928339417891699</v>
      </c>
    </row>
    <row r="851" spans="1:15" s="236" customFormat="1" x14ac:dyDescent="0.2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2">
      <c r="A852" s="244" t="s">
        <v>32</v>
      </c>
      <c r="B852" s="311">
        <f>SUM(B842:B850)</f>
        <v>29.863999999774396</v>
      </c>
      <c r="C852" s="311">
        <f t="shared" ref="C852:E852" si="368">SUM(C842:C850)</f>
        <v>4.0699999999873802</v>
      </c>
      <c r="D852" s="311">
        <f t="shared" si="368"/>
        <v>2.3570000000225986</v>
      </c>
      <c r="E852" s="311">
        <f t="shared" si="368"/>
        <v>36.290999999784376</v>
      </c>
      <c r="F852" s="311"/>
      <c r="G852" s="311">
        <f t="shared" ref="G852:J852" si="369">SUM(G842:G850)</f>
        <v>29.765999999489527</v>
      </c>
      <c r="H852" s="311">
        <f t="shared" si="369"/>
        <v>4.5080000000248601</v>
      </c>
      <c r="I852" s="311">
        <f t="shared" si="369"/>
        <v>1.6799999999993984</v>
      </c>
      <c r="J852" s="311">
        <f t="shared" si="369"/>
        <v>35.953999999513776</v>
      </c>
      <c r="K852" s="311"/>
      <c r="L852" s="311">
        <f t="shared" ref="L852:O852" si="370">SUM(L842:L850)</f>
        <v>28.545999999797218</v>
      </c>
      <c r="M852" s="311">
        <f t="shared" si="370"/>
        <v>4.2920000000082519</v>
      </c>
      <c r="N852" s="311">
        <f t="shared" si="370"/>
        <v>1.8480000000293706</v>
      </c>
      <c r="O852" s="311">
        <f t="shared" si="370"/>
        <v>34.685999999834841</v>
      </c>
    </row>
    <row r="853" spans="1:15" s="236" customFormat="1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2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2">
      <c r="A856" s="241" t="str">
        <f>name!A53</f>
        <v>Real estate</v>
      </c>
      <c r="B856" s="374">
        <f>$B$6</f>
        <v>2015</v>
      </c>
      <c r="C856" s="374"/>
      <c r="D856" s="374"/>
      <c r="E856" s="374"/>
      <c r="F856" s="263"/>
      <c r="G856" s="374">
        <f>$G$6</f>
        <v>2020</v>
      </c>
      <c r="H856" s="374"/>
      <c r="I856" s="374"/>
      <c r="J856" s="374"/>
      <c r="K856" s="263"/>
      <c r="L856" s="374">
        <f>$L$6</f>
        <v>2035</v>
      </c>
      <c r="M856" s="374"/>
      <c r="N856" s="374"/>
      <c r="O856" s="374"/>
    </row>
    <row r="857" spans="1:15" s="236" customFormat="1" x14ac:dyDescent="0.2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2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2">
      <c r="A859" s="237" t="str">
        <f>name!E$4</f>
        <v>Managers, directors and senior officials</v>
      </c>
      <c r="B859" s="302">
        <v>5.2146459111021048</v>
      </c>
      <c r="C859" s="302">
        <v>1.1635732059230872</v>
      </c>
      <c r="D859" s="302">
        <v>4.0706189237309642</v>
      </c>
      <c r="E859" s="302">
        <f>SUM(B859:D859)</f>
        <v>10.448838040756156</v>
      </c>
      <c r="F859" s="303"/>
      <c r="G859" s="302">
        <v>8.7386070709242301</v>
      </c>
      <c r="H859" s="302">
        <v>1.0284932187186882</v>
      </c>
      <c r="I859" s="302">
        <v>3.0035489389712966</v>
      </c>
      <c r="J859" s="302">
        <f>SUM(G859:I859)</f>
        <v>12.770649228614214</v>
      </c>
      <c r="K859" s="303"/>
      <c r="L859" s="302">
        <v>8.8828221293421894</v>
      </c>
      <c r="M859" s="302">
        <v>0.9253443768361802</v>
      </c>
      <c r="N859" s="302">
        <v>3.1420143969359242</v>
      </c>
      <c r="O859" s="302">
        <f>SUM(L859:N859)</f>
        <v>12.950180903114294</v>
      </c>
    </row>
    <row r="860" spans="1:15" s="236" customFormat="1" x14ac:dyDescent="0.2">
      <c r="A860" s="237" t="str">
        <f>name!E$5</f>
        <v>Professional occupations</v>
      </c>
      <c r="B860" s="302">
        <v>4.6574869957865568</v>
      </c>
      <c r="C860" s="302">
        <v>1.1781970223356635</v>
      </c>
      <c r="D860" s="302">
        <v>1.1165184142641325</v>
      </c>
      <c r="E860" s="302">
        <f t="shared" ref="E860:E867" si="371">SUM(B860:D860)</f>
        <v>6.9522024323863532</v>
      </c>
      <c r="F860" s="303"/>
      <c r="G860" s="302">
        <v>9.1270188109136914</v>
      </c>
      <c r="H860" s="302">
        <v>0.99346632681706837</v>
      </c>
      <c r="I860" s="302">
        <v>0.7990725902566771</v>
      </c>
      <c r="J860" s="302">
        <f t="shared" ref="J860:J862" si="372">SUM(G860:I860)</f>
        <v>10.919557727987439</v>
      </c>
      <c r="K860" s="303"/>
      <c r="L860" s="302">
        <v>9.2361374462909769</v>
      </c>
      <c r="M860" s="302">
        <v>0.90832691398600218</v>
      </c>
      <c r="N860" s="302">
        <v>0.48323492291831754</v>
      </c>
      <c r="O860" s="302">
        <f t="shared" ref="O860:O867" si="373">SUM(L860:N860)</f>
        <v>10.627699283195296</v>
      </c>
    </row>
    <row r="861" spans="1:15" s="236" customFormat="1" x14ac:dyDescent="0.2">
      <c r="A861" s="237" t="str">
        <f>name!E$6</f>
        <v>Associate professional occupations</v>
      </c>
      <c r="B861" s="302">
        <v>4.1875376505163855</v>
      </c>
      <c r="C861" s="302">
        <v>1.4707856880209496</v>
      </c>
      <c r="D861" s="302">
        <v>1.2139574338916366</v>
      </c>
      <c r="E861" s="302">
        <f t="shared" si="371"/>
        <v>6.8722807724289723</v>
      </c>
      <c r="F861" s="303"/>
      <c r="G861" s="302">
        <v>7.5912765002941018</v>
      </c>
      <c r="H861" s="302">
        <v>1.0754464002526427</v>
      </c>
      <c r="I861" s="302">
        <v>0.74393499910873639</v>
      </c>
      <c r="J861" s="302">
        <f t="shared" si="372"/>
        <v>9.4106578996554813</v>
      </c>
      <c r="K861" s="303"/>
      <c r="L861" s="302">
        <v>6.8226581811724669</v>
      </c>
      <c r="M861" s="302">
        <v>0.88338746515165378</v>
      </c>
      <c r="N861" s="302">
        <v>0.51386640052296972</v>
      </c>
      <c r="O861" s="302">
        <f t="shared" si="373"/>
        <v>8.2199120468470905</v>
      </c>
    </row>
    <row r="862" spans="1:15" s="236" customFormat="1" x14ac:dyDescent="0.2">
      <c r="A862" s="237" t="str">
        <f>name!E$7</f>
        <v>Administrative and secretarial occupations</v>
      </c>
      <c r="B862" s="302">
        <v>3.6689634530070028</v>
      </c>
      <c r="C862" s="302">
        <v>5.7970421393412561</v>
      </c>
      <c r="D862" s="302">
        <v>1.0043151655268556</v>
      </c>
      <c r="E862" s="302">
        <f t="shared" si="371"/>
        <v>10.470320757875115</v>
      </c>
      <c r="F862" s="303"/>
      <c r="G862" s="302">
        <v>5.9985715042600178</v>
      </c>
      <c r="H862" s="302">
        <v>3.3345290768066174</v>
      </c>
      <c r="I862" s="302">
        <v>0.52174552889416381</v>
      </c>
      <c r="J862" s="302">
        <f t="shared" si="372"/>
        <v>9.854846109960798</v>
      </c>
      <c r="K862" s="303"/>
      <c r="L862" s="302">
        <v>3.9121554478736846</v>
      </c>
      <c r="M862" s="302">
        <v>2.2976897102064924</v>
      </c>
      <c r="N862" s="302">
        <v>0.42531220422821536</v>
      </c>
      <c r="O862" s="302">
        <f t="shared" si="373"/>
        <v>6.6351573623083926</v>
      </c>
    </row>
    <row r="863" spans="1:15" s="236" customFormat="1" x14ac:dyDescent="0.2">
      <c r="A863" s="237" t="str">
        <f>name!E$8</f>
        <v>Skilled trades occupations</v>
      </c>
      <c r="B863" s="302">
        <v>2.0327010267970227</v>
      </c>
      <c r="C863" s="302">
        <v>0.31414456697351284</v>
      </c>
      <c r="D863" s="302">
        <v>3.0495999976020824</v>
      </c>
      <c r="E863" s="302">
        <f t="shared" si="371"/>
        <v>5.3964455913726184</v>
      </c>
      <c r="F863" s="303"/>
      <c r="G863" s="302">
        <v>2.4097085628364314</v>
      </c>
      <c r="H863" s="302">
        <v>0.16568178772244491</v>
      </c>
      <c r="I863" s="302">
        <v>1.7273414090316159</v>
      </c>
      <c r="J863" s="302">
        <f>SUM(G863:I863)</f>
        <v>4.3027317595904924</v>
      </c>
      <c r="K863" s="303"/>
      <c r="L863" s="302">
        <v>2.5392609342929373</v>
      </c>
      <c r="M863" s="302">
        <v>0.21844144764751855</v>
      </c>
      <c r="N863" s="302">
        <v>1.735858690847732</v>
      </c>
      <c r="O863" s="302">
        <f t="shared" si="373"/>
        <v>4.4935610727881876</v>
      </c>
    </row>
    <row r="864" spans="1:15" s="236" customFormat="1" x14ac:dyDescent="0.2">
      <c r="A864" s="237" t="str">
        <f>name!E$9</f>
        <v>Caring, leisure and other service occupations</v>
      </c>
      <c r="B864" s="302">
        <v>1.0459480689480494</v>
      </c>
      <c r="C864" s="302">
        <v>0.67421780793127184</v>
      </c>
      <c r="D864" s="302">
        <v>0.44127452423902636</v>
      </c>
      <c r="E864" s="302">
        <f t="shared" si="371"/>
        <v>2.1614404011183477</v>
      </c>
      <c r="F864" s="303"/>
      <c r="G864" s="302">
        <v>1.6409935173791699</v>
      </c>
      <c r="H864" s="302">
        <v>0.38893408208285674</v>
      </c>
      <c r="I864" s="302">
        <v>0.28986964194097264</v>
      </c>
      <c r="J864" s="302">
        <f t="shared" ref="J864:J867" si="374">SUM(G864:I864)</f>
        <v>2.3197972414029993</v>
      </c>
      <c r="K864" s="303"/>
      <c r="L864" s="302">
        <v>1.6661073599214389</v>
      </c>
      <c r="M864" s="302">
        <v>0.30656898510332592</v>
      </c>
      <c r="N864" s="302">
        <v>0.44714209173443764</v>
      </c>
      <c r="O864" s="302">
        <f t="shared" si="373"/>
        <v>2.4198184367592024</v>
      </c>
    </row>
    <row r="865" spans="1:15" s="236" customFormat="1" x14ac:dyDescent="0.2">
      <c r="A865" s="237" t="str">
        <f>name!E$10</f>
        <v>Sales and customer service occupations</v>
      </c>
      <c r="B865" s="302">
        <v>2.3917880611027367</v>
      </c>
      <c r="C865" s="302">
        <v>2.2334869617382727</v>
      </c>
      <c r="D865" s="302">
        <v>1.131182236749688</v>
      </c>
      <c r="E865" s="302">
        <f t="shared" si="371"/>
        <v>5.7564572595906975</v>
      </c>
      <c r="F865" s="303"/>
      <c r="G865" s="302">
        <v>3.478274022612545</v>
      </c>
      <c r="H865" s="302">
        <v>1.2611018869579678</v>
      </c>
      <c r="I865" s="302">
        <v>0.60865821169180734</v>
      </c>
      <c r="J865" s="302">
        <f t="shared" si="374"/>
        <v>5.3480341212623204</v>
      </c>
      <c r="K865" s="303"/>
      <c r="L865" s="302">
        <v>2.9179373813904093</v>
      </c>
      <c r="M865" s="302">
        <v>1.0881771908442353</v>
      </c>
      <c r="N865" s="302">
        <v>0.48586922304745833</v>
      </c>
      <c r="O865" s="302">
        <f t="shared" si="373"/>
        <v>4.4919837952821027</v>
      </c>
    </row>
    <row r="866" spans="1:15" s="236" customFormat="1" x14ac:dyDescent="0.2">
      <c r="A866" s="237" t="str">
        <f>name!E$11</f>
        <v>Process, plant and machine operatives</v>
      </c>
      <c r="B866" s="302">
        <v>0.67279594687313904</v>
      </c>
      <c r="C866" s="302">
        <v>0.10396667115607751</v>
      </c>
      <c r="D866" s="302">
        <v>0.1175121106750955</v>
      </c>
      <c r="E866" s="302">
        <f t="shared" si="371"/>
        <v>0.89427472870431202</v>
      </c>
      <c r="F866" s="303"/>
      <c r="G866" s="302">
        <v>0.75598338653045316</v>
      </c>
      <c r="H866" s="302">
        <v>5.4719233686085229E-2</v>
      </c>
      <c r="I866" s="302">
        <v>9.5722667938796469E-2</v>
      </c>
      <c r="J866" s="302">
        <f t="shared" si="374"/>
        <v>0.90642528815533485</v>
      </c>
      <c r="K866" s="303"/>
      <c r="L866" s="302">
        <v>0.6821935544011295</v>
      </c>
      <c r="M866" s="302">
        <v>5.9730251530857939E-2</v>
      </c>
      <c r="N866" s="302">
        <v>0.11063209107486074</v>
      </c>
      <c r="O866" s="302">
        <f t="shared" si="373"/>
        <v>0.8525558970068482</v>
      </c>
    </row>
    <row r="867" spans="1:15" s="236" customFormat="1" x14ac:dyDescent="0.2">
      <c r="A867" s="237" t="str">
        <f>name!E$12</f>
        <v>Elementary occupations</v>
      </c>
      <c r="B867" s="302">
        <v>0.907132885696049</v>
      </c>
      <c r="C867" s="302">
        <v>0.82858593656317814</v>
      </c>
      <c r="D867" s="302">
        <v>0.52302119338981801</v>
      </c>
      <c r="E867" s="302">
        <f t="shared" si="371"/>
        <v>2.2587400156490451</v>
      </c>
      <c r="F867" s="303"/>
      <c r="G867" s="302">
        <v>1.1425666239182815</v>
      </c>
      <c r="H867" s="302">
        <v>0.39362798700933666</v>
      </c>
      <c r="I867" s="302">
        <v>0.25510601213863293</v>
      </c>
      <c r="J867" s="302">
        <f t="shared" si="374"/>
        <v>1.7913006230662512</v>
      </c>
      <c r="K867" s="303"/>
      <c r="L867" s="302">
        <v>0.93672756516112132</v>
      </c>
      <c r="M867" s="302">
        <v>0.13933365864422376</v>
      </c>
      <c r="N867" s="302">
        <v>0.35606997869424589</v>
      </c>
      <c r="O867" s="302">
        <f t="shared" si="373"/>
        <v>1.4321312024995909</v>
      </c>
    </row>
    <row r="868" spans="1:15" s="236" customFormat="1" x14ac:dyDescent="0.2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2">
      <c r="A869" s="244" t="s">
        <v>32</v>
      </c>
      <c r="B869" s="311">
        <f>SUM(B859:B867)</f>
        <v>24.77899999982905</v>
      </c>
      <c r="C869" s="311">
        <f t="shared" ref="C869:E869" si="375">SUM(C859:C867)</f>
        <v>13.76399999998327</v>
      </c>
      <c r="D869" s="311">
        <f t="shared" si="375"/>
        <v>12.668000000069298</v>
      </c>
      <c r="E869" s="311">
        <f t="shared" si="375"/>
        <v>51.210999999881615</v>
      </c>
      <c r="F869" s="311"/>
      <c r="G869" s="311">
        <f t="shared" ref="G869:J869" si="376">SUM(G859:G867)</f>
        <v>40.882999999668925</v>
      </c>
      <c r="H869" s="311">
        <f t="shared" si="376"/>
        <v>8.6960000000537097</v>
      </c>
      <c r="I869" s="311">
        <f t="shared" si="376"/>
        <v>8.0449999999726991</v>
      </c>
      <c r="J869" s="311">
        <f t="shared" si="376"/>
        <v>57.623999999695329</v>
      </c>
      <c r="K869" s="311"/>
      <c r="L869" s="311">
        <f t="shared" ref="L869:O869" si="377">SUM(L859:L867)</f>
        <v>37.595999999846356</v>
      </c>
      <c r="M869" s="311">
        <f t="shared" si="377"/>
        <v>6.8269999999504893</v>
      </c>
      <c r="N869" s="311">
        <f t="shared" si="377"/>
        <v>7.7000000000041613</v>
      </c>
      <c r="O869" s="311">
        <f t="shared" si="377"/>
        <v>52.12299999980101</v>
      </c>
    </row>
    <row r="870" spans="1:15" s="236" customFormat="1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2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2">
      <c r="A873" s="241" t="str">
        <f>name!A54</f>
        <v>Legal and accounting</v>
      </c>
      <c r="B873" s="374">
        <f>$B$6</f>
        <v>2015</v>
      </c>
      <c r="C873" s="374"/>
      <c r="D873" s="374"/>
      <c r="E873" s="374"/>
      <c r="F873" s="263"/>
      <c r="G873" s="374">
        <f>$G$6</f>
        <v>2020</v>
      </c>
      <c r="H873" s="374"/>
      <c r="I873" s="374"/>
      <c r="J873" s="374"/>
      <c r="K873" s="263"/>
      <c r="L873" s="374">
        <f>$L$6</f>
        <v>2035</v>
      </c>
      <c r="M873" s="374"/>
      <c r="N873" s="374"/>
      <c r="O873" s="374"/>
    </row>
    <row r="874" spans="1:15" s="236" customFormat="1" x14ac:dyDescent="0.2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2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2">
      <c r="A876" s="237" t="str">
        <f>name!E$4</f>
        <v>Managers, directors and senior officials</v>
      </c>
      <c r="B876" s="302">
        <v>5.0884754270007448</v>
      </c>
      <c r="C876" s="302">
        <v>1.1899005380577292</v>
      </c>
      <c r="D876" s="302">
        <v>1.9015069843431265</v>
      </c>
      <c r="E876" s="302">
        <f>SUM(B876:D876)</f>
        <v>8.1798829494016019</v>
      </c>
      <c r="F876" s="303"/>
      <c r="G876" s="302">
        <v>6.4391483699828349</v>
      </c>
      <c r="H876" s="302">
        <v>2.2252089069752081</v>
      </c>
      <c r="I876" s="302">
        <v>2.2490151328234549</v>
      </c>
      <c r="J876" s="302">
        <f>SUM(G876:I876)</f>
        <v>10.913372409781498</v>
      </c>
      <c r="K876" s="303"/>
      <c r="L876" s="302">
        <v>7.2799853698558641</v>
      </c>
      <c r="M876" s="302">
        <v>2.8677776228837155</v>
      </c>
      <c r="N876" s="302">
        <v>2.5142766618345025</v>
      </c>
      <c r="O876" s="302">
        <f>SUM(L876:N876)</f>
        <v>12.662039654574082</v>
      </c>
    </row>
    <row r="877" spans="1:15" s="236" customFormat="1" x14ac:dyDescent="0.2">
      <c r="A877" s="237" t="str">
        <f>name!E$5</f>
        <v>Professional occupations</v>
      </c>
      <c r="B877" s="302">
        <v>11.874632128588866</v>
      </c>
      <c r="C877" s="302">
        <v>1.9932399887331675</v>
      </c>
      <c r="D877" s="302">
        <v>6.310701855057296</v>
      </c>
      <c r="E877" s="302">
        <f t="shared" ref="E877:E884" si="378">SUM(B877:D877)</f>
        <v>20.178573972379329</v>
      </c>
      <c r="F877" s="303"/>
      <c r="G877" s="302">
        <v>17.759496263866989</v>
      </c>
      <c r="H877" s="302">
        <v>3.6096663101056303</v>
      </c>
      <c r="I877" s="302">
        <v>5.8989341023055131</v>
      </c>
      <c r="J877" s="302">
        <f t="shared" ref="J877:J879" si="379">SUM(G877:I877)</f>
        <v>27.268096676278134</v>
      </c>
      <c r="K877" s="303"/>
      <c r="L877" s="302">
        <v>21.821911754392726</v>
      </c>
      <c r="M877" s="302">
        <v>4.6126565325488302</v>
      </c>
      <c r="N877" s="302">
        <v>5.8601417237596651</v>
      </c>
      <c r="O877" s="302">
        <f t="shared" ref="O877:O884" si="380">SUM(L877:N877)</f>
        <v>32.294710010701223</v>
      </c>
    </row>
    <row r="878" spans="1:15" s="236" customFormat="1" x14ac:dyDescent="0.2">
      <c r="A878" s="237" t="str">
        <f>name!E$6</f>
        <v>Associate professional occupations</v>
      </c>
      <c r="B878" s="302">
        <v>6.6500008005884226</v>
      </c>
      <c r="C878" s="302">
        <v>1.7097677754639995</v>
      </c>
      <c r="D878" s="302">
        <v>3.2506803892699137</v>
      </c>
      <c r="E878" s="302">
        <f t="shared" si="378"/>
        <v>11.610448965322336</v>
      </c>
      <c r="F878" s="303"/>
      <c r="G878" s="302">
        <v>9.0459318072032087</v>
      </c>
      <c r="H878" s="302">
        <v>2.6018444713300255</v>
      </c>
      <c r="I878" s="302">
        <v>3.5012338023594456</v>
      </c>
      <c r="J878" s="302">
        <f t="shared" si="379"/>
        <v>15.14901008089268</v>
      </c>
      <c r="K878" s="303"/>
      <c r="L878" s="302">
        <v>9.2726362973149499</v>
      </c>
      <c r="M878" s="302">
        <v>2.9869408751145676</v>
      </c>
      <c r="N878" s="302">
        <v>3.954631113422777</v>
      </c>
      <c r="O878" s="302">
        <f t="shared" si="380"/>
        <v>16.214208285852294</v>
      </c>
    </row>
    <row r="879" spans="1:15" s="236" customFormat="1" x14ac:dyDescent="0.2">
      <c r="A879" s="237" t="str">
        <f>name!E$7</f>
        <v>Administrative and secretarial occupations</v>
      </c>
      <c r="B879" s="302">
        <v>6.2830181476252074</v>
      </c>
      <c r="C879" s="302">
        <v>5.1097227530507263</v>
      </c>
      <c r="D879" s="302">
        <v>2.1134946303884758</v>
      </c>
      <c r="E879" s="302">
        <f t="shared" si="378"/>
        <v>13.506235531064409</v>
      </c>
      <c r="F879" s="303"/>
      <c r="G879" s="302">
        <v>7.3584682385240487</v>
      </c>
      <c r="H879" s="302">
        <v>6.3949636529903273</v>
      </c>
      <c r="I879" s="302">
        <v>2.6920054150561326</v>
      </c>
      <c r="J879" s="302">
        <f t="shared" si="379"/>
        <v>16.445437306570508</v>
      </c>
      <c r="K879" s="303"/>
      <c r="L879" s="302">
        <v>4.8112302416035844</v>
      </c>
      <c r="M879" s="302">
        <v>5.583364498582462</v>
      </c>
      <c r="N879" s="302">
        <v>2.3253997238928346</v>
      </c>
      <c r="O879" s="302">
        <f t="shared" si="380"/>
        <v>12.719994464078882</v>
      </c>
    </row>
    <row r="880" spans="1:15" s="236" customFormat="1" x14ac:dyDescent="0.2">
      <c r="A880" s="237" t="str">
        <f>name!E$8</f>
        <v>Skilled trades occupations</v>
      </c>
      <c r="B880" s="302">
        <v>1.0145258867154803</v>
      </c>
      <c r="C880" s="302">
        <v>0.37429187200564706</v>
      </c>
      <c r="D880" s="302">
        <v>0.46861941700528337</v>
      </c>
      <c r="E880" s="302">
        <f t="shared" si="378"/>
        <v>1.8574371757264105</v>
      </c>
      <c r="F880" s="303"/>
      <c r="G880" s="302">
        <v>0.91486688232535895</v>
      </c>
      <c r="H880" s="302">
        <v>0.26535880352115648</v>
      </c>
      <c r="I880" s="302">
        <v>0.33808299231414352</v>
      </c>
      <c r="J880" s="302">
        <f>SUM(G880:I880)</f>
        <v>1.518308678160659</v>
      </c>
      <c r="K880" s="303"/>
      <c r="L880" s="302">
        <v>1.0767811640775762</v>
      </c>
      <c r="M880" s="302">
        <v>0.40291548166714319</v>
      </c>
      <c r="N880" s="302">
        <v>0.48907717334071826</v>
      </c>
      <c r="O880" s="302">
        <f t="shared" si="380"/>
        <v>1.9687738190854376</v>
      </c>
    </row>
    <row r="881" spans="1:15" s="236" customFormat="1" x14ac:dyDescent="0.2">
      <c r="A881" s="237" t="str">
        <f>name!E$9</f>
        <v>Caring, leisure and other service occupations</v>
      </c>
      <c r="B881" s="302">
        <v>0.14784001481636455</v>
      </c>
      <c r="C881" s="302">
        <v>7.1636401239013159E-2</v>
      </c>
      <c r="D881" s="302">
        <v>0.1969221335703909</v>
      </c>
      <c r="E881" s="302">
        <f t="shared" si="378"/>
        <v>0.41639854962576861</v>
      </c>
      <c r="F881" s="303"/>
      <c r="G881" s="302">
        <v>0.15675707120705321</v>
      </c>
      <c r="H881" s="302">
        <v>8.1567334643768599E-2</v>
      </c>
      <c r="I881" s="302">
        <v>0.21709622237858434</v>
      </c>
      <c r="J881" s="302">
        <f t="shared" ref="J881:J884" si="381">SUM(G881:I881)</f>
        <v>0.45542062822940615</v>
      </c>
      <c r="K881" s="303"/>
      <c r="L881" s="302">
        <v>0.17279696097706007</v>
      </c>
      <c r="M881" s="302">
        <v>8.4634850554881028E-2</v>
      </c>
      <c r="N881" s="302">
        <v>0.40885869586865659</v>
      </c>
      <c r="O881" s="302">
        <f t="shared" si="380"/>
        <v>0.6662905074005977</v>
      </c>
    </row>
    <row r="882" spans="1:15" s="236" customFormat="1" x14ac:dyDescent="0.2">
      <c r="A882" s="237" t="str">
        <f>name!E$10</f>
        <v>Sales and customer service occupations</v>
      </c>
      <c r="B882" s="302">
        <v>1.2411340291860973</v>
      </c>
      <c r="C882" s="302">
        <v>0.88723526528893626</v>
      </c>
      <c r="D882" s="302">
        <v>0.47862158944484867</v>
      </c>
      <c r="E882" s="302">
        <f t="shared" si="378"/>
        <v>2.6069908839198819</v>
      </c>
      <c r="F882" s="303"/>
      <c r="G882" s="302">
        <v>1.4077021669873875</v>
      </c>
      <c r="H882" s="302">
        <v>1.1012961255069085</v>
      </c>
      <c r="I882" s="302">
        <v>0.38998326596896715</v>
      </c>
      <c r="J882" s="302">
        <f t="shared" si="381"/>
        <v>2.8989815584632632</v>
      </c>
      <c r="K882" s="303"/>
      <c r="L882" s="302">
        <v>1.3919902822406862</v>
      </c>
      <c r="M882" s="302">
        <v>1.3610135881949925</v>
      </c>
      <c r="N882" s="302">
        <v>0.35636710866956134</v>
      </c>
      <c r="O882" s="302">
        <f t="shared" si="380"/>
        <v>3.1093709791052402</v>
      </c>
    </row>
    <row r="883" spans="1:15" s="236" customFormat="1" x14ac:dyDescent="0.2">
      <c r="A883" s="237" t="str">
        <f>name!E$11</f>
        <v>Process, plant and machine operatives</v>
      </c>
      <c r="B883" s="302">
        <v>0.44245949178815547</v>
      </c>
      <c r="C883" s="302">
        <v>0.31898101232023823</v>
      </c>
      <c r="D883" s="302">
        <v>0.1623527537310385</v>
      </c>
      <c r="E883" s="302">
        <f t="shared" si="378"/>
        <v>0.92379325783943222</v>
      </c>
      <c r="F883" s="303"/>
      <c r="G883" s="302">
        <v>0.34405059814910577</v>
      </c>
      <c r="H883" s="302">
        <v>0.33847173073627923</v>
      </c>
      <c r="I883" s="302">
        <v>0.18216046700558691</v>
      </c>
      <c r="J883" s="302">
        <f t="shared" si="381"/>
        <v>0.86468279589097197</v>
      </c>
      <c r="K883" s="303"/>
      <c r="L883" s="302">
        <v>0.4000038464523753</v>
      </c>
      <c r="M883" s="302">
        <v>0.58639723646943187</v>
      </c>
      <c r="N883" s="302">
        <v>0.24067036346570261</v>
      </c>
      <c r="O883" s="302">
        <f t="shared" si="380"/>
        <v>1.2270714463875099</v>
      </c>
    </row>
    <row r="884" spans="1:15" s="236" customFormat="1" x14ac:dyDescent="0.2">
      <c r="A884" s="237" t="str">
        <f>name!E$12</f>
        <v>Elementary occupations</v>
      </c>
      <c r="B884" s="302">
        <v>0.7039140735039866</v>
      </c>
      <c r="C884" s="302">
        <v>0.6252243938326949</v>
      </c>
      <c r="D884" s="302">
        <v>0.19910024748920632</v>
      </c>
      <c r="E884" s="302">
        <f t="shared" si="378"/>
        <v>1.5282387148258878</v>
      </c>
      <c r="F884" s="303"/>
      <c r="G884" s="302">
        <v>0.70157860067868483</v>
      </c>
      <c r="H884" s="302">
        <v>0.62962266409411061</v>
      </c>
      <c r="I884" s="302">
        <v>0.16648859948501465</v>
      </c>
      <c r="J884" s="302">
        <f t="shared" si="381"/>
        <v>1.49768986425781</v>
      </c>
      <c r="K884" s="303"/>
      <c r="L884" s="302">
        <v>0.63866408288875876</v>
      </c>
      <c r="M884" s="302">
        <v>0.63129931409606932</v>
      </c>
      <c r="N884" s="302">
        <v>0.26857743600616096</v>
      </c>
      <c r="O884" s="302">
        <f t="shared" si="380"/>
        <v>1.5385408329909891</v>
      </c>
    </row>
    <row r="885" spans="1:15" s="236" customFormat="1" x14ac:dyDescent="0.2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2">
      <c r="A886" s="244" t="s">
        <v>32</v>
      </c>
      <c r="B886" s="311">
        <f>SUM(B876:B884)</f>
        <v>33.445999999813324</v>
      </c>
      <c r="C886" s="311">
        <f t="shared" ref="C886:E886" si="382">SUM(C876:C884)</f>
        <v>12.279999999992155</v>
      </c>
      <c r="D886" s="311">
        <f t="shared" si="382"/>
        <v>15.08200000029958</v>
      </c>
      <c r="E886" s="311">
        <f t="shared" si="382"/>
        <v>60.808000000105068</v>
      </c>
      <c r="F886" s="311"/>
      <c r="G886" s="311">
        <f t="shared" ref="G886:J886" si="383">SUM(G876:G884)</f>
        <v>44.127999998924665</v>
      </c>
      <c r="H886" s="311">
        <f t="shared" si="383"/>
        <v>17.247999999903417</v>
      </c>
      <c r="I886" s="311">
        <f t="shared" si="383"/>
        <v>15.634999999696843</v>
      </c>
      <c r="J886" s="311">
        <f t="shared" si="383"/>
        <v>77.010999998524937</v>
      </c>
      <c r="K886" s="311"/>
      <c r="L886" s="311">
        <f t="shared" ref="L886:O886" si="384">SUM(L876:L884)</f>
        <v>46.865999999803577</v>
      </c>
      <c r="M886" s="311">
        <f t="shared" si="384"/>
        <v>19.117000000112093</v>
      </c>
      <c r="N886" s="311">
        <f t="shared" si="384"/>
        <v>16.41800000026058</v>
      </c>
      <c r="O886" s="311">
        <f t="shared" si="384"/>
        <v>82.401000000176268</v>
      </c>
    </row>
    <row r="887" spans="1:15" s="236" customFormat="1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2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2">
      <c r="A890" s="241" t="str">
        <f>name!A55</f>
        <v>Head offices, etc</v>
      </c>
      <c r="B890" s="374">
        <f>$B$6</f>
        <v>2015</v>
      </c>
      <c r="C890" s="374"/>
      <c r="D890" s="374"/>
      <c r="E890" s="374"/>
      <c r="F890" s="263"/>
      <c r="G890" s="374">
        <f>$G$6</f>
        <v>2020</v>
      </c>
      <c r="H890" s="374"/>
      <c r="I890" s="374"/>
      <c r="J890" s="374"/>
      <c r="K890" s="263"/>
      <c r="L890" s="374">
        <f>$L$6</f>
        <v>2035</v>
      </c>
      <c r="M890" s="374"/>
      <c r="N890" s="374"/>
      <c r="O890" s="374"/>
    </row>
    <row r="891" spans="1:15" s="236" customFormat="1" x14ac:dyDescent="0.2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2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2">
      <c r="A893" s="237" t="str">
        <f>name!E$4</f>
        <v>Managers, directors and senior officials</v>
      </c>
      <c r="B893" s="302">
        <v>4.904868916591048</v>
      </c>
      <c r="C893" s="302">
        <v>1.1749873924148999</v>
      </c>
      <c r="D893" s="302">
        <v>1.4489893429703051</v>
      </c>
      <c r="E893" s="302">
        <f>SUM(B893:D893)</f>
        <v>7.528845651976253</v>
      </c>
      <c r="F893" s="303"/>
      <c r="G893" s="302">
        <v>6.3128590888661815</v>
      </c>
      <c r="H893" s="302">
        <v>2.0743733788732626</v>
      </c>
      <c r="I893" s="302">
        <v>1.6079001830432289</v>
      </c>
      <c r="J893" s="302">
        <f>SUM(G893:I893)</f>
        <v>9.9951326507826739</v>
      </c>
      <c r="K893" s="303"/>
      <c r="L893" s="302">
        <v>6.4724635259148222</v>
      </c>
      <c r="M893" s="302">
        <v>2.6446555243991052</v>
      </c>
      <c r="N893" s="302">
        <v>1.8297998528145476</v>
      </c>
      <c r="O893" s="302">
        <f>SUM(L893:N893)</f>
        <v>10.946918903128475</v>
      </c>
    </row>
    <row r="894" spans="1:15" s="236" customFormat="1" x14ac:dyDescent="0.2">
      <c r="A894" s="237" t="str">
        <f>name!E$5</f>
        <v>Professional occupations</v>
      </c>
      <c r="B894" s="302">
        <v>11.662053473652653</v>
      </c>
      <c r="C894" s="302">
        <v>1.9658254514933211</v>
      </c>
      <c r="D894" s="302">
        <v>4.804725377778305</v>
      </c>
      <c r="E894" s="302">
        <f t="shared" ref="E894:E901" si="385">SUM(B894:D894)</f>
        <v>18.432604302924279</v>
      </c>
      <c r="F894" s="303"/>
      <c r="G894" s="302">
        <v>17.405848475172309</v>
      </c>
      <c r="H894" s="302">
        <v>3.350145393654993</v>
      </c>
      <c r="I894" s="302">
        <v>4.2664147117146456</v>
      </c>
      <c r="J894" s="302">
        <f t="shared" ref="J894:J896" si="386">SUM(G894:I894)</f>
        <v>25.022408580541949</v>
      </c>
      <c r="K894" s="303"/>
      <c r="L894" s="302">
        <v>19.967581885792956</v>
      </c>
      <c r="M894" s="302">
        <v>4.2505431760723731</v>
      </c>
      <c r="N894" s="302">
        <v>3.8969327507798117</v>
      </c>
      <c r="O894" s="302">
        <f t="shared" ref="O894:O901" si="387">SUM(L894:N894)</f>
        <v>28.115057812645141</v>
      </c>
    </row>
    <row r="895" spans="1:15" s="236" customFormat="1" x14ac:dyDescent="0.2">
      <c r="A895" s="237" t="str">
        <f>name!E$6</f>
        <v>Associate professional occupations</v>
      </c>
      <c r="B895" s="302">
        <v>5.9259067213690946</v>
      </c>
      <c r="C895" s="302">
        <v>1.6867379328198027</v>
      </c>
      <c r="D895" s="302">
        <v>2.2778187745218013</v>
      </c>
      <c r="E895" s="302">
        <f t="shared" si="385"/>
        <v>9.8904634287106994</v>
      </c>
      <c r="F895" s="303"/>
      <c r="G895" s="302">
        <v>8.1546164108332491</v>
      </c>
      <c r="H895" s="302">
        <v>2.4244488343139428</v>
      </c>
      <c r="I895" s="302">
        <v>2.2854842020980577</v>
      </c>
      <c r="J895" s="302">
        <f t="shared" si="386"/>
        <v>12.864549447245249</v>
      </c>
      <c r="K895" s="303"/>
      <c r="L895" s="302">
        <v>7.7573764289423712</v>
      </c>
      <c r="M895" s="302">
        <v>2.7467677997508577</v>
      </c>
      <c r="N895" s="302">
        <v>2.3707334652563987</v>
      </c>
      <c r="O895" s="302">
        <f t="shared" si="387"/>
        <v>12.874877693949626</v>
      </c>
    </row>
    <row r="896" spans="1:15" s="236" customFormat="1" x14ac:dyDescent="0.2">
      <c r="A896" s="237" t="str">
        <f>name!E$7</f>
        <v>Administrative and secretarial occupations</v>
      </c>
      <c r="B896" s="302">
        <v>3.8138774916892526</v>
      </c>
      <c r="C896" s="302">
        <v>5.0279007666156383</v>
      </c>
      <c r="D896" s="302">
        <v>1.2978797147101431</v>
      </c>
      <c r="E896" s="302">
        <f t="shared" si="385"/>
        <v>10.139657973015035</v>
      </c>
      <c r="F896" s="303"/>
      <c r="G896" s="302">
        <v>4.656013101692686</v>
      </c>
      <c r="H896" s="302">
        <v>5.8127835611193497</v>
      </c>
      <c r="I896" s="302">
        <v>1.5155312480535477</v>
      </c>
      <c r="J896" s="302">
        <f t="shared" si="386"/>
        <v>11.984327910865584</v>
      </c>
      <c r="K896" s="303"/>
      <c r="L896" s="302">
        <v>3.3191107463945446</v>
      </c>
      <c r="M896" s="302">
        <v>5.0981152197522679</v>
      </c>
      <c r="N896" s="302">
        <v>1.221962852218597</v>
      </c>
      <c r="O896" s="302">
        <f t="shared" si="387"/>
        <v>9.63918881836541</v>
      </c>
    </row>
    <row r="897" spans="1:15" s="236" customFormat="1" x14ac:dyDescent="0.2">
      <c r="A897" s="237" t="str">
        <f>name!E$8</f>
        <v>Skilled trades occupations</v>
      </c>
      <c r="B897" s="302">
        <v>1.2324805356522039</v>
      </c>
      <c r="C897" s="302">
        <v>0.37180900461073424</v>
      </c>
      <c r="D897" s="302">
        <v>0.3803887204839666</v>
      </c>
      <c r="E897" s="302">
        <f t="shared" si="385"/>
        <v>1.9846782607469049</v>
      </c>
      <c r="F897" s="303"/>
      <c r="G897" s="302">
        <v>1.1266373221822354</v>
      </c>
      <c r="H897" s="302">
        <v>0.25880479888666824</v>
      </c>
      <c r="I897" s="302">
        <v>0.26703933801901336</v>
      </c>
      <c r="J897" s="302">
        <f>SUM(G897:I897)</f>
        <v>1.6524814590879169</v>
      </c>
      <c r="K897" s="303"/>
      <c r="L897" s="302">
        <v>1.0114400543644742</v>
      </c>
      <c r="M897" s="302">
        <v>0.37565821634398727</v>
      </c>
      <c r="N897" s="302">
        <v>0.36980211415493774</v>
      </c>
      <c r="O897" s="302">
        <f t="shared" si="387"/>
        <v>1.7569003848633991</v>
      </c>
    </row>
    <row r="898" spans="1:15" s="236" customFormat="1" x14ac:dyDescent="0.2">
      <c r="A898" s="237" t="str">
        <f>name!E$9</f>
        <v>Caring, leisure and other service occupations</v>
      </c>
      <c r="B898" s="302">
        <v>0.11089527881902342</v>
      </c>
      <c r="C898" s="302">
        <v>7.0791408649754306E-2</v>
      </c>
      <c r="D898" s="302">
        <v>0.14641543073696342</v>
      </c>
      <c r="E898" s="302">
        <f t="shared" si="385"/>
        <v>0.32810211820574114</v>
      </c>
      <c r="F898" s="303"/>
      <c r="G898" s="302">
        <v>0.12549983556941635</v>
      </c>
      <c r="H898" s="302">
        <v>7.702982562394084E-2</v>
      </c>
      <c r="I898" s="302">
        <v>0.15199141196960966</v>
      </c>
      <c r="J898" s="302">
        <f t="shared" ref="J898:J901" si="388">SUM(G898:I898)</f>
        <v>0.35452107316296688</v>
      </c>
      <c r="K898" s="303"/>
      <c r="L898" s="302">
        <v>0.13712055921080588</v>
      </c>
      <c r="M898" s="302">
        <v>7.8504723020586184E-2</v>
      </c>
      <c r="N898" s="302">
        <v>0.28242556859530449</v>
      </c>
      <c r="O898" s="302">
        <f t="shared" si="387"/>
        <v>0.49805085082669653</v>
      </c>
    </row>
    <row r="899" spans="1:15" s="236" customFormat="1" x14ac:dyDescent="0.2">
      <c r="A899" s="237" t="str">
        <f>name!E$10</f>
        <v>Sales and customer service occupations</v>
      </c>
      <c r="B899" s="302">
        <v>0.8228886881004589</v>
      </c>
      <c r="C899" s="302">
        <v>0.87591773330339306</v>
      </c>
      <c r="D899" s="302">
        <v>0.32443333463662555</v>
      </c>
      <c r="E899" s="302">
        <f t="shared" si="385"/>
        <v>2.0232397560404776</v>
      </c>
      <c r="F899" s="303"/>
      <c r="G899" s="302">
        <v>0.95679445543631259</v>
      </c>
      <c r="H899" s="302">
        <v>1.028862383337515</v>
      </c>
      <c r="I899" s="302">
        <v>0.24875814686325401</v>
      </c>
      <c r="J899" s="302">
        <f t="shared" si="388"/>
        <v>2.2344149856370814</v>
      </c>
      <c r="K899" s="303"/>
      <c r="L899" s="302">
        <v>0.97584532489219122</v>
      </c>
      <c r="M899" s="302">
        <v>1.2579753129487954</v>
      </c>
      <c r="N899" s="302">
        <v>0.22193038955953653</v>
      </c>
      <c r="O899" s="302">
        <f t="shared" si="387"/>
        <v>2.4557510274005234</v>
      </c>
    </row>
    <row r="900" spans="1:15" s="236" customFormat="1" x14ac:dyDescent="0.2">
      <c r="A900" s="237" t="str">
        <f>name!E$11</f>
        <v>Process, plant and machine operatives</v>
      </c>
      <c r="B900" s="302">
        <v>0.53490809596322264</v>
      </c>
      <c r="C900" s="302">
        <v>0.31605505167125741</v>
      </c>
      <c r="D900" s="302">
        <v>0.11808171357536529</v>
      </c>
      <c r="E900" s="302">
        <f t="shared" si="385"/>
        <v>0.96904486120984545</v>
      </c>
      <c r="F900" s="303"/>
      <c r="G900" s="302">
        <v>0.44498212283270244</v>
      </c>
      <c r="H900" s="302">
        <v>0.32664487591543562</v>
      </c>
      <c r="I900" s="302">
        <v>0.12223554520323464</v>
      </c>
      <c r="J900" s="302">
        <f t="shared" si="388"/>
        <v>0.89386254395137277</v>
      </c>
      <c r="K900" s="303"/>
      <c r="L900" s="302">
        <v>0.45457472118230863</v>
      </c>
      <c r="M900" s="302">
        <v>0.54443769330035441</v>
      </c>
      <c r="N900" s="302">
        <v>0.15568630201698033</v>
      </c>
      <c r="O900" s="302">
        <f t="shared" si="387"/>
        <v>1.1546987164996434</v>
      </c>
    </row>
    <row r="901" spans="1:15" s="236" customFormat="1" x14ac:dyDescent="0.2">
      <c r="A901" s="237" t="str">
        <f>name!E$12</f>
        <v>Elementary occupations</v>
      </c>
      <c r="B901" s="302">
        <v>0.55612079786318624</v>
      </c>
      <c r="C901" s="302">
        <v>0.61797525841317269</v>
      </c>
      <c r="D901" s="302">
        <v>0.12726759079076264</v>
      </c>
      <c r="E901" s="302">
        <f t="shared" si="385"/>
        <v>1.3013636470671215</v>
      </c>
      <c r="F901" s="303"/>
      <c r="G901" s="302">
        <v>0.5567491863763091</v>
      </c>
      <c r="H901" s="302">
        <v>0.59290694818533551</v>
      </c>
      <c r="I901" s="302">
        <v>0.10064521286899421</v>
      </c>
      <c r="J901" s="302">
        <f t="shared" si="388"/>
        <v>1.250301347430639</v>
      </c>
      <c r="K901" s="303"/>
      <c r="L901" s="302">
        <v>0.48548675276259373</v>
      </c>
      <c r="M901" s="302">
        <v>0.58534233451299333</v>
      </c>
      <c r="N901" s="302">
        <v>0.1457267047761466</v>
      </c>
      <c r="O901" s="302">
        <f t="shared" si="387"/>
        <v>1.2165557920517336</v>
      </c>
    </row>
    <row r="902" spans="1:15" s="236" customFormat="1" x14ac:dyDescent="0.2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2">
      <c r="A903" s="244" t="s">
        <v>32</v>
      </c>
      <c r="B903" s="311">
        <f>SUM(B893:B901)</f>
        <v>29.56399999970014</v>
      </c>
      <c r="C903" s="311">
        <f t="shared" ref="C903:E903" si="389">SUM(C893:C901)</f>
        <v>12.107999999991973</v>
      </c>
      <c r="D903" s="311">
        <f t="shared" si="389"/>
        <v>10.926000000204237</v>
      </c>
      <c r="E903" s="311">
        <f t="shared" si="389"/>
        <v>52.597999999896352</v>
      </c>
      <c r="F903" s="311"/>
      <c r="G903" s="311">
        <f t="shared" ref="G903:J903" si="390">SUM(G893:G901)</f>
        <v>39.739999998961395</v>
      </c>
      <c r="H903" s="311">
        <f t="shared" si="390"/>
        <v>15.945999999910443</v>
      </c>
      <c r="I903" s="311">
        <f t="shared" si="390"/>
        <v>10.565999999833586</v>
      </c>
      <c r="J903" s="311">
        <f t="shared" si="390"/>
        <v>66.251999998705429</v>
      </c>
      <c r="K903" s="311"/>
      <c r="L903" s="311">
        <f t="shared" ref="L903:O903" si="391">SUM(L893:L901)</f>
        <v>40.58099999945707</v>
      </c>
      <c r="M903" s="311">
        <f t="shared" si="391"/>
        <v>17.582000000101324</v>
      </c>
      <c r="N903" s="311">
        <f t="shared" si="391"/>
        <v>10.495000000172261</v>
      </c>
      <c r="O903" s="311">
        <f t="shared" si="391"/>
        <v>68.657999999730649</v>
      </c>
    </row>
    <row r="904" spans="1:15" s="236" customFormat="1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2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2">
      <c r="A907" s="241" t="str">
        <f>name!A56</f>
        <v>Architectural and related</v>
      </c>
      <c r="B907" s="374">
        <f>$B$6</f>
        <v>2015</v>
      </c>
      <c r="C907" s="374"/>
      <c r="D907" s="374"/>
      <c r="E907" s="374"/>
      <c r="F907" s="263"/>
      <c r="G907" s="374">
        <f>$G$6</f>
        <v>2020</v>
      </c>
      <c r="H907" s="374"/>
      <c r="I907" s="374"/>
      <c r="J907" s="374"/>
      <c r="K907" s="263"/>
      <c r="L907" s="374">
        <f>$L$6</f>
        <v>2035</v>
      </c>
      <c r="M907" s="374"/>
      <c r="N907" s="374"/>
      <c r="O907" s="374"/>
    </row>
    <row r="908" spans="1:15" s="236" customFormat="1" x14ac:dyDescent="0.2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2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2">
      <c r="A910" s="237" t="str">
        <f>name!E$4</f>
        <v>Managers, directors and senior officials</v>
      </c>
      <c r="B910" s="302">
        <v>8.0295474121812855</v>
      </c>
      <c r="C910" s="302">
        <v>0.52576677922801973</v>
      </c>
      <c r="D910" s="302">
        <v>2.1383295238719757</v>
      </c>
      <c r="E910" s="302">
        <f>SUM(B910:D910)</f>
        <v>10.693643715281281</v>
      </c>
      <c r="F910" s="303"/>
      <c r="G910" s="302">
        <v>6.8581631332110895</v>
      </c>
      <c r="H910" s="302">
        <v>0.90355748077609921</v>
      </c>
      <c r="I910" s="302">
        <v>1.6539720015909281</v>
      </c>
      <c r="J910" s="302">
        <f>SUM(G910:I910)</f>
        <v>9.4156926155781164</v>
      </c>
      <c r="K910" s="303"/>
      <c r="L910" s="302">
        <v>6.9800582930636557</v>
      </c>
      <c r="M910" s="302">
        <v>1.1606260541579558</v>
      </c>
      <c r="N910" s="302">
        <v>2.0190934861841248</v>
      </c>
      <c r="O910" s="302">
        <f>SUM(L910:N910)</f>
        <v>10.159777833405737</v>
      </c>
    </row>
    <row r="911" spans="1:15" s="236" customFormat="1" x14ac:dyDescent="0.2">
      <c r="A911" s="237" t="str">
        <f>name!E$5</f>
        <v>Professional occupations</v>
      </c>
      <c r="B911" s="302">
        <v>19.23427735556773</v>
      </c>
      <c r="C911" s="302">
        <v>0.84038538626850179</v>
      </c>
      <c r="D911" s="302">
        <v>7.080311364052462</v>
      </c>
      <c r="E911" s="302">
        <f t="shared" ref="E911:E918" si="392">SUM(B911:D911)</f>
        <v>27.154974105888694</v>
      </c>
      <c r="F911" s="303"/>
      <c r="G911" s="302">
        <v>18.906743638509063</v>
      </c>
      <c r="H911" s="302">
        <v>1.4171705234130869</v>
      </c>
      <c r="I911" s="302">
        <v>4.4668781323032789</v>
      </c>
      <c r="J911" s="302">
        <f t="shared" ref="J911:J913" si="393">SUM(G911:I911)</f>
        <v>24.79079229422543</v>
      </c>
      <c r="K911" s="303"/>
      <c r="L911" s="302">
        <v>21.871503335159176</v>
      </c>
      <c r="M911" s="302">
        <v>1.8342876889735829</v>
      </c>
      <c r="N911" s="302">
        <v>3.8934084893637864</v>
      </c>
      <c r="O911" s="302">
        <f t="shared" ref="O911:O918" si="394">SUM(L911:N911)</f>
        <v>27.599199513496544</v>
      </c>
    </row>
    <row r="912" spans="1:15" s="236" customFormat="1" x14ac:dyDescent="0.2">
      <c r="A912" s="237" t="str">
        <f>name!E$6</f>
        <v>Associate professional occupations</v>
      </c>
      <c r="B912" s="302">
        <v>9.3807270668699889</v>
      </c>
      <c r="C912" s="302">
        <v>0.72892508709132497</v>
      </c>
      <c r="D912" s="302">
        <v>2.8731707140816876</v>
      </c>
      <c r="E912" s="302">
        <f t="shared" si="392"/>
        <v>12.982822868043002</v>
      </c>
      <c r="F912" s="303"/>
      <c r="G912" s="302">
        <v>8.508450949611964</v>
      </c>
      <c r="H912" s="302">
        <v>1.0531226801638207</v>
      </c>
      <c r="I912" s="302">
        <v>2.0039306302618294</v>
      </c>
      <c r="J912" s="302">
        <f t="shared" si="393"/>
        <v>11.565504260037613</v>
      </c>
      <c r="K912" s="303"/>
      <c r="L912" s="302">
        <v>8.0752206021947508</v>
      </c>
      <c r="M912" s="302">
        <v>1.1306445713950968</v>
      </c>
      <c r="N912" s="302">
        <v>2.055180149385559</v>
      </c>
      <c r="O912" s="302">
        <f t="shared" si="394"/>
        <v>11.261045322975406</v>
      </c>
    </row>
    <row r="913" spans="1:15" s="236" customFormat="1" x14ac:dyDescent="0.2">
      <c r="A913" s="237" t="str">
        <f>name!E$7</f>
        <v>Administrative and secretarial occupations</v>
      </c>
      <c r="B913" s="302">
        <v>4.7599045573953234</v>
      </c>
      <c r="C913" s="302">
        <v>1.9629339479864307</v>
      </c>
      <c r="D913" s="302">
        <v>1.149210867533101</v>
      </c>
      <c r="E913" s="302">
        <f t="shared" si="392"/>
        <v>7.8720493729148551</v>
      </c>
      <c r="F913" s="303"/>
      <c r="G913" s="302">
        <v>3.8020275918351167</v>
      </c>
      <c r="H913" s="302">
        <v>2.110205639369017</v>
      </c>
      <c r="I913" s="302">
        <v>0.90674927591586008</v>
      </c>
      <c r="J913" s="302">
        <f t="shared" si="393"/>
        <v>6.8189825071199941</v>
      </c>
      <c r="K913" s="303"/>
      <c r="L913" s="302">
        <v>3.0073078541000511</v>
      </c>
      <c r="M913" s="302">
        <v>1.7485101341023348</v>
      </c>
      <c r="N913" s="302">
        <v>0.82838819173790634</v>
      </c>
      <c r="O913" s="302">
        <f t="shared" si="394"/>
        <v>5.584206179940292</v>
      </c>
    </row>
    <row r="914" spans="1:15" s="236" customFormat="1" x14ac:dyDescent="0.2">
      <c r="A914" s="237" t="str">
        <f>name!E$8</f>
        <v>Skilled trades occupations</v>
      </c>
      <c r="B914" s="302">
        <v>2.1860622198717876</v>
      </c>
      <c r="C914" s="302">
        <v>0.20199805028485557</v>
      </c>
      <c r="D914" s="302">
        <v>0.61842607521458004</v>
      </c>
      <c r="E914" s="302">
        <f t="shared" si="392"/>
        <v>3.0064863453712229</v>
      </c>
      <c r="F914" s="303"/>
      <c r="G914" s="302">
        <v>1.3367568344865486</v>
      </c>
      <c r="H914" s="302">
        <v>0.14515713948494338</v>
      </c>
      <c r="I914" s="302">
        <v>0.31507839970093982</v>
      </c>
      <c r="J914" s="302">
        <f>SUM(G914:I914)</f>
        <v>1.7969923736724318</v>
      </c>
      <c r="K914" s="303"/>
      <c r="L914" s="302">
        <v>1.12305320042529</v>
      </c>
      <c r="M914" s="302">
        <v>0.20418955163475119</v>
      </c>
      <c r="N914" s="302">
        <v>0.42339042531246118</v>
      </c>
      <c r="O914" s="302">
        <f t="shared" si="394"/>
        <v>1.7506331773725023</v>
      </c>
    </row>
    <row r="915" spans="1:15" s="236" customFormat="1" x14ac:dyDescent="0.2">
      <c r="A915" s="237" t="str">
        <f>name!E$9</f>
        <v>Caring, leisure and other service occupations</v>
      </c>
      <c r="B915" s="302">
        <v>0.16062799104671968</v>
      </c>
      <c r="C915" s="302">
        <v>3.2529150684458809E-2</v>
      </c>
      <c r="D915" s="302">
        <v>0.20714284642615372</v>
      </c>
      <c r="E915" s="302">
        <f t="shared" si="392"/>
        <v>0.4002999881573322</v>
      </c>
      <c r="F915" s="303"/>
      <c r="G915" s="302">
        <v>0.12250134379140486</v>
      </c>
      <c r="H915" s="302">
        <v>3.636484213642021E-2</v>
      </c>
      <c r="I915" s="302">
        <v>0.15121539543595139</v>
      </c>
      <c r="J915" s="302">
        <f t="shared" ref="J915:J918" si="395">SUM(G915:I915)</f>
        <v>0.31008158136377645</v>
      </c>
      <c r="K915" s="303"/>
      <c r="L915" s="302">
        <v>0.13801963969660849</v>
      </c>
      <c r="M915" s="302">
        <v>3.8824137605144513E-2</v>
      </c>
      <c r="N915" s="302">
        <v>0.29492022311612787</v>
      </c>
      <c r="O915" s="302">
        <f t="shared" si="394"/>
        <v>0.47176400041788086</v>
      </c>
    </row>
    <row r="916" spans="1:15" s="236" customFormat="1" x14ac:dyDescent="0.2">
      <c r="A916" s="237" t="str">
        <f>name!E$10</f>
        <v>Sales and customer service occupations</v>
      </c>
      <c r="B916" s="302">
        <v>1.100027062527086</v>
      </c>
      <c r="C916" s="302">
        <v>0.38875331122724333</v>
      </c>
      <c r="D916" s="302">
        <v>0.38005967108433619</v>
      </c>
      <c r="E916" s="302">
        <f t="shared" si="392"/>
        <v>1.8688400448386657</v>
      </c>
      <c r="F916" s="303"/>
      <c r="G916" s="302">
        <v>0.83158153337519025</v>
      </c>
      <c r="H916" s="302">
        <v>0.45444198374501193</v>
      </c>
      <c r="I916" s="302">
        <v>0.20796881429739875</v>
      </c>
      <c r="J916" s="302">
        <f t="shared" si="395"/>
        <v>1.4939923314176009</v>
      </c>
      <c r="K916" s="303"/>
      <c r="L916" s="302">
        <v>0.89614006298733351</v>
      </c>
      <c r="M916" s="302">
        <v>0.57949887011296941</v>
      </c>
      <c r="N916" s="302">
        <v>0.20352191091869251</v>
      </c>
      <c r="O916" s="302">
        <f t="shared" si="394"/>
        <v>1.6791608440189953</v>
      </c>
    </row>
    <row r="917" spans="1:15" s="236" customFormat="1" x14ac:dyDescent="0.2">
      <c r="A917" s="237" t="str">
        <f>name!E$11</f>
        <v>Process, plant and machine operatives</v>
      </c>
      <c r="B917" s="302">
        <v>0.9474030383915103</v>
      </c>
      <c r="C917" s="302">
        <v>0.15871705432304989</v>
      </c>
      <c r="D917" s="302">
        <v>0.16045064815182536</v>
      </c>
      <c r="E917" s="302">
        <f t="shared" si="392"/>
        <v>1.2665707408663855</v>
      </c>
      <c r="F917" s="303"/>
      <c r="G917" s="302">
        <v>0.53629550221696631</v>
      </c>
      <c r="H917" s="302">
        <v>0.17380820709495845</v>
      </c>
      <c r="I917" s="302">
        <v>0.11298750147056852</v>
      </c>
      <c r="J917" s="302">
        <f t="shared" si="395"/>
        <v>0.82309121078249325</v>
      </c>
      <c r="K917" s="303"/>
      <c r="L917" s="302">
        <v>0.54928257541211045</v>
      </c>
      <c r="M917" s="302">
        <v>0.27415616667634585</v>
      </c>
      <c r="N917" s="302">
        <v>0.15027436681218545</v>
      </c>
      <c r="O917" s="302">
        <f t="shared" si="394"/>
        <v>0.97371310890064178</v>
      </c>
    </row>
    <row r="918" spans="1:15" s="236" customFormat="1" x14ac:dyDescent="0.2">
      <c r="A918" s="237" t="str">
        <f>name!E$12</f>
        <v>Elementary occupations</v>
      </c>
      <c r="B918" s="302">
        <v>0.82942329557843308</v>
      </c>
      <c r="C918" s="302">
        <v>0.28599123289805295</v>
      </c>
      <c r="D918" s="302">
        <v>0.12789828982637552</v>
      </c>
      <c r="E918" s="302">
        <f t="shared" si="392"/>
        <v>1.2433128183028614</v>
      </c>
      <c r="F918" s="303"/>
      <c r="G918" s="302">
        <v>0.54047947184199296</v>
      </c>
      <c r="H918" s="302">
        <v>0.27517150377897603</v>
      </c>
      <c r="I918" s="302">
        <v>7.4219848932290097E-2</v>
      </c>
      <c r="J918" s="302">
        <f t="shared" si="395"/>
        <v>0.88987082455325905</v>
      </c>
      <c r="K918" s="303"/>
      <c r="L918" s="302">
        <v>0.47441443615568102</v>
      </c>
      <c r="M918" s="302">
        <v>0.28726282536655207</v>
      </c>
      <c r="N918" s="302">
        <v>0.10582275734002747</v>
      </c>
      <c r="O918" s="302">
        <f t="shared" si="394"/>
        <v>0.86750001886226058</v>
      </c>
    </row>
    <row r="919" spans="1:15" s="236" customFormat="1" x14ac:dyDescent="0.2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2">
      <c r="A920" s="244" t="s">
        <v>32</v>
      </c>
      <c r="B920" s="311">
        <f>SUM(B910:B918)</f>
        <v>46.627999999429861</v>
      </c>
      <c r="C920" s="311">
        <f t="shared" ref="C920:E920" si="396">SUM(C910:C918)</f>
        <v>5.1259999999919392</v>
      </c>
      <c r="D920" s="311">
        <f t="shared" si="396"/>
        <v>14.735000000242497</v>
      </c>
      <c r="E920" s="311">
        <f t="shared" si="396"/>
        <v>66.488999999664287</v>
      </c>
      <c r="F920" s="311"/>
      <c r="G920" s="311">
        <f t="shared" ref="G920:J920" si="397">SUM(G910:G918)</f>
        <v>41.442999998879337</v>
      </c>
      <c r="H920" s="311">
        <f t="shared" si="397"/>
        <v>6.5689999999623341</v>
      </c>
      <c r="I920" s="311">
        <f t="shared" si="397"/>
        <v>9.8929999999090459</v>
      </c>
      <c r="J920" s="311">
        <f t="shared" si="397"/>
        <v>57.904999998750718</v>
      </c>
      <c r="K920" s="311"/>
      <c r="L920" s="311">
        <f t="shared" ref="L920:O920" si="398">SUM(L910:L918)</f>
        <v>43.114999999194659</v>
      </c>
      <c r="M920" s="311">
        <f t="shared" si="398"/>
        <v>7.258000000024734</v>
      </c>
      <c r="N920" s="311">
        <f t="shared" si="398"/>
        <v>9.9740000001708697</v>
      </c>
      <c r="O920" s="311">
        <f t="shared" si="398"/>
        <v>60.346999999390256</v>
      </c>
    </row>
    <row r="921" spans="1:15" s="236" customFormat="1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2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2">
      <c r="A924" s="241" t="str">
        <f>name!A57</f>
        <v>Scientific research and development</v>
      </c>
      <c r="B924" s="374">
        <f>$B$6</f>
        <v>2015</v>
      </c>
      <c r="C924" s="374"/>
      <c r="D924" s="374"/>
      <c r="E924" s="374"/>
      <c r="F924" s="263"/>
      <c r="G924" s="374">
        <f>$G$6</f>
        <v>2020</v>
      </c>
      <c r="H924" s="374"/>
      <c r="I924" s="374"/>
      <c r="J924" s="374"/>
      <c r="K924" s="263"/>
      <c r="L924" s="374">
        <f>$L$6</f>
        <v>2035</v>
      </c>
      <c r="M924" s="374"/>
      <c r="N924" s="374"/>
      <c r="O924" s="374"/>
    </row>
    <row r="925" spans="1:15" s="236" customFormat="1" x14ac:dyDescent="0.2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2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2">
      <c r="A927" s="237" t="str">
        <f>name!E$4</f>
        <v>Managers, directors and senior officials</v>
      </c>
      <c r="B927" s="302">
        <v>0.73955637177364308</v>
      </c>
      <c r="C927" s="302">
        <v>3.6569292270026886E-2</v>
      </c>
      <c r="D927" s="302">
        <v>0.54525933034544583</v>
      </c>
      <c r="E927" s="302">
        <f>SUM(B927:D927)</f>
        <v>1.3213849943891158</v>
      </c>
      <c r="F927" s="303"/>
      <c r="G927" s="302">
        <v>0.81274169393779161</v>
      </c>
      <c r="H927" s="302">
        <v>5.9691174335993323E-2</v>
      </c>
      <c r="I927" s="302">
        <v>0.4121734054543762</v>
      </c>
      <c r="J927" s="302">
        <f>SUM(G927:I927)</f>
        <v>1.2846062737281612</v>
      </c>
      <c r="K927" s="303"/>
      <c r="L927" s="302">
        <v>1.0611130770509116</v>
      </c>
      <c r="M927" s="302">
        <v>9.503946663888331E-2</v>
      </c>
      <c r="N927" s="302">
        <v>0.72634476726333941</v>
      </c>
      <c r="O927" s="302">
        <f>SUM(L927:N927)</f>
        <v>1.8824973109531344</v>
      </c>
    </row>
    <row r="928" spans="1:15" s="236" customFormat="1" x14ac:dyDescent="0.2">
      <c r="A928" s="237" t="str">
        <f>name!E$5</f>
        <v>Professional occupations</v>
      </c>
      <c r="B928" s="302">
        <v>3.2722801974196485</v>
      </c>
      <c r="C928" s="302">
        <v>0.19385412770652508</v>
      </c>
      <c r="D928" s="302">
        <v>2.5278192723359187</v>
      </c>
      <c r="E928" s="302">
        <f t="shared" ref="E928:E935" si="399">SUM(B928:D928)</f>
        <v>5.9939535974620917</v>
      </c>
      <c r="F928" s="303"/>
      <c r="G928" s="302">
        <v>4.0259413234821384</v>
      </c>
      <c r="H928" s="302">
        <v>0.29472837483644959</v>
      </c>
      <c r="I928" s="302">
        <v>1.9058646888108925</v>
      </c>
      <c r="J928" s="302">
        <f t="shared" ref="J928:J930" si="400">SUM(G928:I928)</f>
        <v>6.2265343871294814</v>
      </c>
      <c r="K928" s="303"/>
      <c r="L928" s="302">
        <v>6.0404560091012574</v>
      </c>
      <c r="M928" s="302">
        <v>0.49600555161760224</v>
      </c>
      <c r="N928" s="302">
        <v>2.7251457699521815</v>
      </c>
      <c r="O928" s="302">
        <f t="shared" ref="O928:O935" si="401">SUM(L928:N928)</f>
        <v>9.2616073306710405</v>
      </c>
    </row>
    <row r="929" spans="1:15" s="236" customFormat="1" x14ac:dyDescent="0.2">
      <c r="A929" s="237" t="str">
        <f>name!E$6</f>
        <v>Associate professional occupations</v>
      </c>
      <c r="B929" s="302">
        <v>0.94615296083018052</v>
      </c>
      <c r="C929" s="302">
        <v>9.0753978967044527E-2</v>
      </c>
      <c r="D929" s="302">
        <v>0.43179343643900275</v>
      </c>
      <c r="E929" s="302">
        <f t="shared" si="399"/>
        <v>1.4687003762362278</v>
      </c>
      <c r="F929" s="303"/>
      <c r="G929" s="302">
        <v>1.1285006764652619</v>
      </c>
      <c r="H929" s="302">
        <v>0.12850633070813758</v>
      </c>
      <c r="I929" s="302">
        <v>0.3367779110386897</v>
      </c>
      <c r="J929" s="302">
        <f t="shared" si="400"/>
        <v>1.5937849182120891</v>
      </c>
      <c r="K929" s="303"/>
      <c r="L929" s="302">
        <v>1.4024106953321329</v>
      </c>
      <c r="M929" s="302">
        <v>0.16539615468160343</v>
      </c>
      <c r="N929" s="302">
        <v>0.5112763492578134</v>
      </c>
      <c r="O929" s="302">
        <f t="shared" si="401"/>
        <v>2.0790831992715497</v>
      </c>
    </row>
    <row r="930" spans="1:15" s="236" customFormat="1" x14ac:dyDescent="0.2">
      <c r="A930" s="237" t="str">
        <f>name!E$7</f>
        <v>Administrative and secretarial occupations</v>
      </c>
      <c r="B930" s="302">
        <v>0.32501700965290747</v>
      </c>
      <c r="C930" s="302">
        <v>0.1314318406483071</v>
      </c>
      <c r="D930" s="302">
        <v>0.24105658725610299</v>
      </c>
      <c r="E930" s="302">
        <f t="shared" si="399"/>
        <v>0.69750543755731753</v>
      </c>
      <c r="F930" s="303"/>
      <c r="G930" s="302">
        <v>0.35224484324559352</v>
      </c>
      <c r="H930" s="302">
        <v>0.14930042873981264</v>
      </c>
      <c r="I930" s="302">
        <v>0.24047060297076381</v>
      </c>
      <c r="J930" s="302">
        <f t="shared" si="400"/>
        <v>0.74201587495616994</v>
      </c>
      <c r="K930" s="303"/>
      <c r="L930" s="302">
        <v>0.35510498891945391</v>
      </c>
      <c r="M930" s="302">
        <v>0.14616051954200907</v>
      </c>
      <c r="N930" s="302">
        <v>0.30521958358162121</v>
      </c>
      <c r="O930" s="302">
        <f t="shared" si="401"/>
        <v>0.80648509204308416</v>
      </c>
    </row>
    <row r="931" spans="1:15" s="236" customFormat="1" x14ac:dyDescent="0.2">
      <c r="A931" s="237" t="str">
        <f>name!E$8</f>
        <v>Skilled trades occupations</v>
      </c>
      <c r="B931" s="302">
        <v>0.28024782857120162</v>
      </c>
      <c r="C931" s="302">
        <v>3.8203842837837607E-2</v>
      </c>
      <c r="D931" s="302">
        <v>0.27431966040130423</v>
      </c>
      <c r="E931" s="302">
        <f t="shared" si="399"/>
        <v>0.59277133181034347</v>
      </c>
      <c r="F931" s="303"/>
      <c r="G931" s="302">
        <v>0.20811133703175747</v>
      </c>
      <c r="H931" s="302">
        <v>2.4697941765789166E-2</v>
      </c>
      <c r="I931" s="302">
        <v>0.15177756090220307</v>
      </c>
      <c r="J931" s="302">
        <f>SUM(G931:I931)</f>
        <v>0.38458683969974972</v>
      </c>
      <c r="K931" s="303"/>
      <c r="L931" s="302">
        <v>0.21597815260223588</v>
      </c>
      <c r="M931" s="302">
        <v>3.8863813933226549E-2</v>
      </c>
      <c r="N931" s="302">
        <v>0.28048528283694352</v>
      </c>
      <c r="O931" s="302">
        <f t="shared" si="401"/>
        <v>0.53532724937240594</v>
      </c>
    </row>
    <row r="932" spans="1:15" s="236" customFormat="1" x14ac:dyDescent="0.2">
      <c r="A932" s="237" t="str">
        <f>name!E$9</f>
        <v>Caring, leisure and other service occupations</v>
      </c>
      <c r="B932" s="302">
        <v>0.1638313173785014</v>
      </c>
      <c r="C932" s="302">
        <v>2.7306783517985871E-2</v>
      </c>
      <c r="D932" s="302">
        <v>0.12369215035875432</v>
      </c>
      <c r="E932" s="302">
        <f t="shared" si="399"/>
        <v>0.31483025125524161</v>
      </c>
      <c r="F932" s="303"/>
      <c r="G932" s="302">
        <v>0.17095613990943248</v>
      </c>
      <c r="H932" s="302">
        <v>2.8356972183706849E-2</v>
      </c>
      <c r="I932" s="302">
        <v>0.14296452122774392</v>
      </c>
      <c r="J932" s="302">
        <f t="shared" ref="J932:J935" si="402">SUM(G932:I932)</f>
        <v>0.34227763332088323</v>
      </c>
      <c r="K932" s="303"/>
      <c r="L932" s="302">
        <v>0.23248724998579112</v>
      </c>
      <c r="M932" s="302">
        <v>4.2721627945872427E-2</v>
      </c>
      <c r="N932" s="302">
        <v>0.33854682534537306</v>
      </c>
      <c r="O932" s="302">
        <f t="shared" si="401"/>
        <v>0.61375570327703666</v>
      </c>
    </row>
    <row r="933" spans="1:15" s="236" customFormat="1" x14ac:dyDescent="0.2">
      <c r="A933" s="237" t="str">
        <f>name!E$10</f>
        <v>Sales and customer service occupations</v>
      </c>
      <c r="B933" s="302">
        <v>8.1512139671300055E-2</v>
      </c>
      <c r="C933" s="302">
        <v>7.9585961010352424E-2</v>
      </c>
      <c r="D933" s="302">
        <v>0.14144633194111084</v>
      </c>
      <c r="E933" s="302">
        <f t="shared" si="399"/>
        <v>0.30254443262276332</v>
      </c>
      <c r="F933" s="303"/>
      <c r="G933" s="302">
        <v>8.2872545275902362E-2</v>
      </c>
      <c r="H933" s="302">
        <v>7.7884008199903126E-2</v>
      </c>
      <c r="I933" s="302">
        <v>8.9524497614859172E-2</v>
      </c>
      <c r="J933" s="302">
        <f t="shared" si="402"/>
        <v>0.25028105109066467</v>
      </c>
      <c r="K933" s="303"/>
      <c r="L933" s="302">
        <v>0.13966415207922711</v>
      </c>
      <c r="M933" s="302">
        <v>0.12022702494154169</v>
      </c>
      <c r="N933" s="302">
        <v>0.15704695379437281</v>
      </c>
      <c r="O933" s="302">
        <f t="shared" si="401"/>
        <v>0.41693813081514164</v>
      </c>
    </row>
    <row r="934" spans="1:15" s="236" customFormat="1" x14ac:dyDescent="0.2">
      <c r="A934" s="237" t="str">
        <f>name!E$11</f>
        <v>Process, plant and machine operatives</v>
      </c>
      <c r="B934" s="302">
        <v>0.11748040497607502</v>
      </c>
      <c r="C934" s="302">
        <v>5.5215414263468945E-2</v>
      </c>
      <c r="D934" s="302">
        <v>0.13238140455408731</v>
      </c>
      <c r="E934" s="302">
        <f t="shared" si="399"/>
        <v>0.30507722379363128</v>
      </c>
      <c r="F934" s="303"/>
      <c r="G934" s="302">
        <v>8.582244920500888E-2</v>
      </c>
      <c r="H934" s="302">
        <v>5.4909657910024535E-2</v>
      </c>
      <c r="I934" s="302">
        <v>8.4773328499723591E-2</v>
      </c>
      <c r="J934" s="302">
        <f t="shared" si="402"/>
        <v>0.225505435614757</v>
      </c>
      <c r="K934" s="303"/>
      <c r="L934" s="302">
        <v>0.11203012970089288</v>
      </c>
      <c r="M934" s="302">
        <v>0.1082735602383018</v>
      </c>
      <c r="N934" s="302">
        <v>0.15984778325377477</v>
      </c>
      <c r="O934" s="302">
        <f t="shared" si="401"/>
        <v>0.38015147319296949</v>
      </c>
    </row>
    <row r="935" spans="1:15" s="236" customFormat="1" x14ac:dyDescent="0.2">
      <c r="A935" s="237" t="str">
        <f>name!E$12</f>
        <v>Elementary occupations</v>
      </c>
      <c r="B935" s="302">
        <v>8.8921769729882069E-2</v>
      </c>
      <c r="C935" s="302">
        <v>2.4078758772435753E-2</v>
      </c>
      <c r="D935" s="302">
        <v>0.25823182642793469</v>
      </c>
      <c r="E935" s="302">
        <f t="shared" si="399"/>
        <v>0.37123235493025253</v>
      </c>
      <c r="F935" s="303"/>
      <c r="G935" s="302">
        <v>6.8808991321699639E-2</v>
      </c>
      <c r="H935" s="302">
        <v>1.8925111309600437E-2</v>
      </c>
      <c r="I935" s="302">
        <v>0.18867348341981241</v>
      </c>
      <c r="J935" s="302">
        <f t="shared" si="402"/>
        <v>0.27640758605111249</v>
      </c>
      <c r="K935" s="303"/>
      <c r="L935" s="302">
        <v>7.0755545130465392E-2</v>
      </c>
      <c r="M935" s="302">
        <v>2.1312280465001783E-2</v>
      </c>
      <c r="N935" s="302">
        <v>0.27708668478942866</v>
      </c>
      <c r="O935" s="302">
        <f t="shared" si="401"/>
        <v>0.36915451038489583</v>
      </c>
    </row>
    <row r="936" spans="1:15" s="236" customFormat="1" x14ac:dyDescent="0.2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2">
      <c r="A937" s="244" t="s">
        <v>32</v>
      </c>
      <c r="B937" s="311">
        <f>SUM(B927:B935)</f>
        <v>6.0150000000033401</v>
      </c>
      <c r="C937" s="311">
        <f t="shared" ref="C937:E937" si="403">SUM(C927:C935)</f>
        <v>0.67699999999398419</v>
      </c>
      <c r="D937" s="311">
        <f t="shared" si="403"/>
        <v>4.6760000000596618</v>
      </c>
      <c r="E937" s="311">
        <f t="shared" si="403"/>
        <v>11.368000000056986</v>
      </c>
      <c r="F937" s="311"/>
      <c r="G937" s="311">
        <f t="shared" ref="G937:J937" si="404">SUM(G927:G935)</f>
        <v>6.9359999998745865</v>
      </c>
      <c r="H937" s="311">
        <f t="shared" si="404"/>
        <v>0.83699999998941721</v>
      </c>
      <c r="I937" s="311">
        <f t="shared" si="404"/>
        <v>3.5529999999390638</v>
      </c>
      <c r="J937" s="311">
        <f t="shared" si="404"/>
        <v>11.32599999980307</v>
      </c>
      <c r="K937" s="311"/>
      <c r="L937" s="311">
        <f t="shared" ref="L937:O937" si="405">SUM(L927:L935)</f>
        <v>9.6299999999023687</v>
      </c>
      <c r="M937" s="311">
        <f t="shared" si="405"/>
        <v>1.2340000000040423</v>
      </c>
      <c r="N937" s="311">
        <f t="shared" si="405"/>
        <v>5.4810000000748484</v>
      </c>
      <c r="O937" s="311">
        <f t="shared" si="405"/>
        <v>16.344999999981258</v>
      </c>
    </row>
    <row r="938" spans="1:15" s="236" customFormat="1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2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2">
      <c r="A941" s="241" t="str">
        <f>name!A58</f>
        <v>Advertising, etc</v>
      </c>
      <c r="B941" s="374">
        <f>$B$6</f>
        <v>2015</v>
      </c>
      <c r="C941" s="374"/>
      <c r="D941" s="374"/>
      <c r="E941" s="374"/>
      <c r="F941" s="263"/>
      <c r="G941" s="374">
        <f>$G$6</f>
        <v>2020</v>
      </c>
      <c r="H941" s="374"/>
      <c r="I941" s="374"/>
      <c r="J941" s="374"/>
      <c r="K941" s="263"/>
      <c r="L941" s="374">
        <f>$L$6</f>
        <v>2035</v>
      </c>
      <c r="M941" s="374"/>
      <c r="N941" s="374"/>
      <c r="O941" s="374"/>
    </row>
    <row r="942" spans="1:15" s="236" customFormat="1" x14ac:dyDescent="0.2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2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2">
      <c r="A944" s="237" t="str">
        <f>name!E$4</f>
        <v>Managers, directors and senior officials</v>
      </c>
      <c r="B944" s="302">
        <v>0.9048574594639669</v>
      </c>
      <c r="C944" s="302">
        <v>0.16736692905775974</v>
      </c>
      <c r="D944" s="302">
        <v>0.47079081627733993</v>
      </c>
      <c r="E944" s="302">
        <f>SUM(B944:D944)</f>
        <v>1.5430152047990666</v>
      </c>
      <c r="F944" s="303"/>
      <c r="G944" s="302">
        <v>0.7051162492245705</v>
      </c>
      <c r="H944" s="302">
        <v>0.59873398499990715</v>
      </c>
      <c r="I944" s="302">
        <v>0.49456989297448667</v>
      </c>
      <c r="J944" s="302">
        <f>SUM(G944:I944)</f>
        <v>1.7984201271989644</v>
      </c>
      <c r="K944" s="303"/>
      <c r="L944" s="302">
        <v>1.028204110337138</v>
      </c>
      <c r="M944" s="302">
        <v>1.0018053053371698</v>
      </c>
      <c r="N944" s="302">
        <v>0.81400761281009482</v>
      </c>
      <c r="O944" s="302">
        <f>SUM(L944:N944)</f>
        <v>2.8440170284844029</v>
      </c>
    </row>
    <row r="945" spans="1:15" s="236" customFormat="1" x14ac:dyDescent="0.2">
      <c r="A945" s="237" t="str">
        <f>name!E$5</f>
        <v>Professional occupations</v>
      </c>
      <c r="B945" s="302">
        <v>2.130209095886308</v>
      </c>
      <c r="C945" s="302">
        <v>0.28476441429030652</v>
      </c>
      <c r="D945" s="302">
        <v>1.5620873411299012</v>
      </c>
      <c r="E945" s="302">
        <f t="shared" ref="E945:E952" si="406">SUM(B945:D945)</f>
        <v>3.9770608513065158</v>
      </c>
      <c r="F945" s="303"/>
      <c r="G945" s="302">
        <v>1.9445232194455224</v>
      </c>
      <c r="H945" s="302">
        <v>0.98209542607946132</v>
      </c>
      <c r="I945" s="302">
        <v>1.2962610944099477</v>
      </c>
      <c r="J945" s="302">
        <f t="shared" ref="J945:J947" si="407">SUM(G945:I945)</f>
        <v>4.2228797399349318</v>
      </c>
      <c r="K945" s="303"/>
      <c r="L945" s="302">
        <v>3.1087576006176003</v>
      </c>
      <c r="M945" s="302">
        <v>1.6194141080615594</v>
      </c>
      <c r="N945" s="302">
        <v>1.9313140430463156</v>
      </c>
      <c r="O945" s="302">
        <f t="shared" ref="O945:O952" si="408">SUM(L945:N945)</f>
        <v>6.6594857517254749</v>
      </c>
    </row>
    <row r="946" spans="1:15" s="236" customFormat="1" x14ac:dyDescent="0.2">
      <c r="A946" s="237" t="str">
        <f>name!E$6</f>
        <v>Associate professional occupations</v>
      </c>
      <c r="B946" s="302">
        <v>1.1408149319577112</v>
      </c>
      <c r="C946" s="302">
        <v>0.24338688457008936</v>
      </c>
      <c r="D946" s="302">
        <v>0.78720774084283995</v>
      </c>
      <c r="E946" s="302">
        <f t="shared" si="406"/>
        <v>2.1714095573706405</v>
      </c>
      <c r="F946" s="303"/>
      <c r="G946" s="302">
        <v>0.96073473231257867</v>
      </c>
      <c r="H946" s="302">
        <v>0.70082762353178818</v>
      </c>
      <c r="I946" s="302">
        <v>0.77413024143323717</v>
      </c>
      <c r="J946" s="302">
        <f t="shared" si="407"/>
        <v>2.4356925972776038</v>
      </c>
      <c r="K946" s="303"/>
      <c r="L946" s="302">
        <v>1.2866957356547837</v>
      </c>
      <c r="M946" s="302">
        <v>1.0628386969261512</v>
      </c>
      <c r="N946" s="302">
        <v>1.3273104506945224</v>
      </c>
      <c r="O946" s="302">
        <f t="shared" si="408"/>
        <v>3.6768448832754572</v>
      </c>
    </row>
    <row r="947" spans="1:15" s="236" customFormat="1" x14ac:dyDescent="0.2">
      <c r="A947" s="237" t="str">
        <f>name!E$7</f>
        <v>Administrative and secretarial occupations</v>
      </c>
      <c r="B947" s="302">
        <v>0.92403755417556754</v>
      </c>
      <c r="C947" s="302">
        <v>0.75089086856047105</v>
      </c>
      <c r="D947" s="302">
        <v>0.49562713392333524</v>
      </c>
      <c r="E947" s="302">
        <f t="shared" si="406"/>
        <v>2.1705555566593739</v>
      </c>
      <c r="F947" s="303"/>
      <c r="G947" s="302">
        <v>0.69887302322381051</v>
      </c>
      <c r="H947" s="302">
        <v>1.8293749351630617</v>
      </c>
      <c r="I947" s="302">
        <v>0.59986217798078301</v>
      </c>
      <c r="J947" s="302">
        <f t="shared" si="407"/>
        <v>3.1281101363676553</v>
      </c>
      <c r="K947" s="303"/>
      <c r="L947" s="302">
        <v>0.63434078603621757</v>
      </c>
      <c r="M947" s="302">
        <v>2.0772772440419724</v>
      </c>
      <c r="N947" s="302">
        <v>0.79642026923919074</v>
      </c>
      <c r="O947" s="302">
        <f t="shared" si="408"/>
        <v>3.5080382993173811</v>
      </c>
    </row>
    <row r="948" spans="1:15" s="236" customFormat="1" x14ac:dyDescent="0.2">
      <c r="A948" s="237" t="str">
        <f>name!E$8</f>
        <v>Skilled trades occupations</v>
      </c>
      <c r="B948" s="302">
        <v>0.20234452023677782</v>
      </c>
      <c r="C948" s="302">
        <v>4.8650646612778035E-2</v>
      </c>
      <c r="D948" s="302">
        <v>0.1180843921544039</v>
      </c>
      <c r="E948" s="302">
        <f t="shared" si="406"/>
        <v>0.36907955900395978</v>
      </c>
      <c r="F948" s="303"/>
      <c r="G948" s="302">
        <v>0.10978260319617393</v>
      </c>
      <c r="H948" s="302">
        <v>6.3042586415855958E-2</v>
      </c>
      <c r="I948" s="302">
        <v>7.3858428952749439E-2</v>
      </c>
      <c r="J948" s="302">
        <f>SUM(G948:I948)</f>
        <v>0.24668361856477933</v>
      </c>
      <c r="K948" s="303"/>
      <c r="L948" s="302">
        <v>0.15463184804237576</v>
      </c>
      <c r="M948" s="302">
        <v>0.13054684078447287</v>
      </c>
      <c r="N948" s="302">
        <v>0.15705632556485541</v>
      </c>
      <c r="O948" s="302">
        <f t="shared" si="408"/>
        <v>0.44223501439170398</v>
      </c>
    </row>
    <row r="949" spans="1:15" s="236" customFormat="1" x14ac:dyDescent="0.2">
      <c r="A949" s="237" t="str">
        <f>name!E$9</f>
        <v>Caring, leisure and other service occupations</v>
      </c>
      <c r="B949" s="302">
        <v>2.3565648951625523E-2</v>
      </c>
      <c r="C949" s="302">
        <v>9.9805000515349549E-3</v>
      </c>
      <c r="D949" s="302">
        <v>4.8433395268833127E-2</v>
      </c>
      <c r="E949" s="302">
        <f t="shared" si="406"/>
        <v>8.197954427199361E-2</v>
      </c>
      <c r="F949" s="303"/>
      <c r="G949" s="302">
        <v>1.5987764805061758E-2</v>
      </c>
      <c r="H949" s="302">
        <v>2.1222462013829459E-2</v>
      </c>
      <c r="I949" s="302">
        <v>4.7802532290304824E-2</v>
      </c>
      <c r="J949" s="302">
        <f t="shared" ref="J949:J952" si="409">SUM(G949:I949)</f>
        <v>8.5012759109196034E-2</v>
      </c>
      <c r="K949" s="303"/>
      <c r="L949" s="302">
        <v>2.3627057995447755E-2</v>
      </c>
      <c r="M949" s="302">
        <v>2.8431336893061734E-2</v>
      </c>
      <c r="N949" s="302">
        <v>0.13377064998482302</v>
      </c>
      <c r="O949" s="302">
        <f t="shared" si="408"/>
        <v>0.18582904487333252</v>
      </c>
    </row>
    <row r="950" spans="1:15" s="236" customFormat="1" x14ac:dyDescent="0.2">
      <c r="A950" s="237" t="str">
        <f>name!E$10</f>
        <v>Sales and customer service occupations</v>
      </c>
      <c r="B950" s="302">
        <v>0.18852180128163065</v>
      </c>
      <c r="C950" s="302">
        <v>0.12515296186991329</v>
      </c>
      <c r="D950" s="302">
        <v>0.11493830906585324</v>
      </c>
      <c r="E950" s="302">
        <f t="shared" si="406"/>
        <v>0.4286130722173972</v>
      </c>
      <c r="F950" s="303"/>
      <c r="G950" s="302">
        <v>0.13645877550378435</v>
      </c>
      <c r="H950" s="302">
        <v>0.29470340801665018</v>
      </c>
      <c r="I950" s="302">
        <v>8.6337985363603528E-2</v>
      </c>
      <c r="J950" s="302">
        <f t="shared" si="409"/>
        <v>0.51750016888403805</v>
      </c>
      <c r="K950" s="303"/>
      <c r="L950" s="302">
        <v>0.18426153754289407</v>
      </c>
      <c r="M950" s="302">
        <v>0.46832880002758687</v>
      </c>
      <c r="N950" s="302">
        <v>0.1188409233066257</v>
      </c>
      <c r="O950" s="302">
        <f t="shared" si="408"/>
        <v>0.77143126087710656</v>
      </c>
    </row>
    <row r="951" spans="1:15" s="236" customFormat="1" x14ac:dyDescent="0.2">
      <c r="A951" s="237" t="str">
        <f>name!E$11</f>
        <v>Process, plant and machine operatives</v>
      </c>
      <c r="B951" s="302">
        <v>8.8022749257546343E-2</v>
      </c>
      <c r="C951" s="302">
        <v>4.292706099767838E-2</v>
      </c>
      <c r="D951" s="302">
        <v>3.9698337661421265E-2</v>
      </c>
      <c r="E951" s="302">
        <f t="shared" si="406"/>
        <v>0.17064814791664601</v>
      </c>
      <c r="F951" s="303"/>
      <c r="G951" s="302">
        <v>4.2175391678981759E-2</v>
      </c>
      <c r="H951" s="302">
        <v>8.2946620467955826E-2</v>
      </c>
      <c r="I951" s="302">
        <v>4.0211998500293077E-2</v>
      </c>
      <c r="J951" s="302">
        <f t="shared" si="409"/>
        <v>0.16533401064723066</v>
      </c>
      <c r="K951" s="303"/>
      <c r="L951" s="302">
        <v>6.115972041719251E-2</v>
      </c>
      <c r="M951" s="302">
        <v>0.19570748863388457</v>
      </c>
      <c r="N951" s="302">
        <v>7.9720706801621591E-2</v>
      </c>
      <c r="O951" s="302">
        <f t="shared" si="408"/>
        <v>0.33658791585269865</v>
      </c>
    </row>
    <row r="952" spans="1:15" s="236" customFormat="1" x14ac:dyDescent="0.2">
      <c r="A952" s="237" t="str">
        <f>name!E$12</f>
        <v>Elementary occupations</v>
      </c>
      <c r="B952" s="302">
        <v>0.11462623874533624</v>
      </c>
      <c r="C952" s="302">
        <v>8.6879733988866462E-2</v>
      </c>
      <c r="D952" s="302">
        <v>4.7132533748119862E-2</v>
      </c>
      <c r="E952" s="302">
        <f t="shared" si="406"/>
        <v>0.24863850648232255</v>
      </c>
      <c r="F952" s="303"/>
      <c r="G952" s="302">
        <v>7.1348240492413631E-2</v>
      </c>
      <c r="H952" s="302">
        <v>0.16505295328515085</v>
      </c>
      <c r="I952" s="302">
        <v>3.6965648026962242E-2</v>
      </c>
      <c r="J952" s="302">
        <f t="shared" si="409"/>
        <v>0.27336684180452669</v>
      </c>
      <c r="K952" s="303"/>
      <c r="L952" s="302">
        <v>8.6321603311247483E-2</v>
      </c>
      <c r="M952" s="302">
        <v>0.21265017933841768</v>
      </c>
      <c r="N952" s="302">
        <v>9.1559018637923206E-2</v>
      </c>
      <c r="O952" s="302">
        <f t="shared" si="408"/>
        <v>0.39053080128758838</v>
      </c>
    </row>
    <row r="953" spans="1:15" s="236" customFormat="1" x14ac:dyDescent="0.2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2">
      <c r="A954" s="244" t="s">
        <v>32</v>
      </c>
      <c r="B954" s="311">
        <f>SUM(B944:B952)</f>
        <v>5.7169999999564709</v>
      </c>
      <c r="C954" s="311">
        <f t="shared" ref="C954:E954" si="410">SUM(C944:C952)</f>
        <v>1.7599999999993978</v>
      </c>
      <c r="D954" s="311">
        <f t="shared" si="410"/>
        <v>3.6840000000720474</v>
      </c>
      <c r="E954" s="311">
        <f t="shared" si="410"/>
        <v>11.161000000027917</v>
      </c>
      <c r="F954" s="311"/>
      <c r="G954" s="311">
        <f t="shared" ref="G954:J954" si="411">SUM(G944:G952)</f>
        <v>4.6849999998828977</v>
      </c>
      <c r="H954" s="311">
        <f t="shared" si="411"/>
        <v>4.7379999999736606</v>
      </c>
      <c r="I954" s="311">
        <f t="shared" si="411"/>
        <v>3.4499999999323672</v>
      </c>
      <c r="J954" s="311">
        <f t="shared" si="411"/>
        <v>12.872999999788924</v>
      </c>
      <c r="K954" s="311"/>
      <c r="L954" s="311">
        <f t="shared" ref="L954:O954" si="412">SUM(L944:L952)</f>
        <v>6.5679999999548961</v>
      </c>
      <c r="M954" s="311">
        <f t="shared" si="412"/>
        <v>6.7970000000442772</v>
      </c>
      <c r="N954" s="311">
        <f t="shared" si="412"/>
        <v>5.4500000000859723</v>
      </c>
      <c r="O954" s="311">
        <f t="shared" si="412"/>
        <v>18.815000000085149</v>
      </c>
    </row>
    <row r="955" spans="1:15" s="236" customFormat="1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2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2">
      <c r="A958" s="241" t="str">
        <f>name!A59</f>
        <v>Other professional</v>
      </c>
      <c r="B958" s="374">
        <f>$B$6</f>
        <v>2015</v>
      </c>
      <c r="C958" s="374"/>
      <c r="D958" s="374"/>
      <c r="E958" s="374"/>
      <c r="F958" s="263"/>
      <c r="G958" s="374">
        <f>$G$6</f>
        <v>2020</v>
      </c>
      <c r="H958" s="374"/>
      <c r="I958" s="374"/>
      <c r="J958" s="374"/>
      <c r="K958" s="263"/>
      <c r="L958" s="374">
        <f>$L$6</f>
        <v>2035</v>
      </c>
      <c r="M958" s="374"/>
      <c r="N958" s="374"/>
      <c r="O958" s="374"/>
    </row>
    <row r="959" spans="1:15" s="236" customFormat="1" x14ac:dyDescent="0.2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2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2">
      <c r="A961" s="237" t="str">
        <f>name!E$4</f>
        <v>Managers, directors and senior officials</v>
      </c>
      <c r="B961" s="302">
        <v>1.6249739572374851</v>
      </c>
      <c r="C961" s="302">
        <v>7.5631527316576477E-2</v>
      </c>
      <c r="D961" s="302">
        <v>0.76090746067623571</v>
      </c>
      <c r="E961" s="302">
        <f>SUM(B961:D961)</f>
        <v>2.4615129452302971</v>
      </c>
      <c r="F961" s="303"/>
      <c r="G961" s="302">
        <v>1.4508505749828196</v>
      </c>
      <c r="H961" s="302">
        <v>0.28351999105699582</v>
      </c>
      <c r="I961" s="302">
        <v>0.61188012921379831</v>
      </c>
      <c r="J961" s="302">
        <f>SUM(G961:I961)</f>
        <v>2.3462506952536137</v>
      </c>
      <c r="K961" s="303"/>
      <c r="L961" s="302">
        <v>2.2214137674642545</v>
      </c>
      <c r="M961" s="302">
        <v>0.4572041269744343</v>
      </c>
      <c r="N961" s="302">
        <v>1.0074767250273429</v>
      </c>
      <c r="O961" s="302">
        <f>SUM(L961:N961)</f>
        <v>3.686094619466032</v>
      </c>
    </row>
    <row r="962" spans="1:15" s="236" customFormat="1" x14ac:dyDescent="0.2">
      <c r="A962" s="237" t="str">
        <f>name!E$5</f>
        <v>Professional occupations</v>
      </c>
      <c r="B962" s="302">
        <v>3.1759722682272362</v>
      </c>
      <c r="C962" s="302">
        <v>0.1409421409055073</v>
      </c>
      <c r="D962" s="302">
        <v>1.8617622975718564</v>
      </c>
      <c r="E962" s="302">
        <f t="shared" ref="E962:E969" si="413">SUM(B962:D962)</f>
        <v>5.1786767067046</v>
      </c>
      <c r="F962" s="303"/>
      <c r="G962" s="302">
        <v>3.3773211931582754</v>
      </c>
      <c r="H962" s="302">
        <v>0.49534958517815508</v>
      </c>
      <c r="I962" s="302">
        <v>1.2501899781957053</v>
      </c>
      <c r="J962" s="302">
        <f t="shared" ref="J962:J964" si="414">SUM(G962:I962)</f>
        <v>5.1228607565321358</v>
      </c>
      <c r="K962" s="303"/>
      <c r="L962" s="302">
        <v>5.6505024617360826</v>
      </c>
      <c r="M962" s="302">
        <v>0.81488886072995892</v>
      </c>
      <c r="N962" s="302">
        <v>1.5080444069872401</v>
      </c>
      <c r="O962" s="302">
        <f t="shared" ref="O962:O969" si="415">SUM(L962:N962)</f>
        <v>7.9734357294532821</v>
      </c>
    </row>
    <row r="963" spans="1:15" s="236" customFormat="1" x14ac:dyDescent="0.2">
      <c r="A963" s="237" t="str">
        <f>name!E$6</f>
        <v>Associate professional occupations</v>
      </c>
      <c r="B963" s="302">
        <v>2.1833930813804208</v>
      </c>
      <c r="C963" s="302">
        <v>0.13175615988750838</v>
      </c>
      <c r="D963" s="302">
        <v>1.364197580377132</v>
      </c>
      <c r="E963" s="302">
        <f t="shared" si="413"/>
        <v>3.6793468216450611</v>
      </c>
      <c r="F963" s="303"/>
      <c r="G963" s="302">
        <v>2.0696211806271849</v>
      </c>
      <c r="H963" s="302">
        <v>0.38936704396849692</v>
      </c>
      <c r="I963" s="302">
        <v>1.1423464995467698</v>
      </c>
      <c r="J963" s="302">
        <f t="shared" si="414"/>
        <v>3.6013347241424514</v>
      </c>
      <c r="K963" s="303"/>
      <c r="L963" s="302">
        <v>2.8831550195113342</v>
      </c>
      <c r="M963" s="302">
        <v>0.59525502282174969</v>
      </c>
      <c r="N963" s="302">
        <v>1.7850754819964787</v>
      </c>
      <c r="O963" s="302">
        <f t="shared" si="415"/>
        <v>5.2634855243295622</v>
      </c>
    </row>
    <row r="964" spans="1:15" s="236" customFormat="1" x14ac:dyDescent="0.2">
      <c r="A964" s="237" t="str">
        <f>name!E$7</f>
        <v>Administrative and secretarial occupations</v>
      </c>
      <c r="B964" s="302">
        <v>2.07396753443911</v>
      </c>
      <c r="C964" s="302">
        <v>0.4009566598695547</v>
      </c>
      <c r="D964" s="302">
        <v>0.46480381728391945</v>
      </c>
      <c r="E964" s="302">
        <f t="shared" si="413"/>
        <v>2.9397280115925843</v>
      </c>
      <c r="F964" s="303"/>
      <c r="G964" s="302">
        <v>1.7448059408563741</v>
      </c>
      <c r="H964" s="302">
        <v>1.01477482783213</v>
      </c>
      <c r="I964" s="302">
        <v>0.46055128121760858</v>
      </c>
      <c r="J964" s="302">
        <f t="shared" si="414"/>
        <v>3.2201320499061126</v>
      </c>
      <c r="K964" s="303"/>
      <c r="L964" s="302">
        <v>1.5915867776902572</v>
      </c>
      <c r="M964" s="302">
        <v>1.3020542436016818</v>
      </c>
      <c r="N964" s="302">
        <v>0.5181613859588079</v>
      </c>
      <c r="O964" s="302">
        <f t="shared" si="415"/>
        <v>3.4118024072507467</v>
      </c>
    </row>
    <row r="965" spans="1:15" s="236" customFormat="1" x14ac:dyDescent="0.2">
      <c r="A965" s="237" t="str">
        <f>name!E$8</f>
        <v>Skilled trades occupations</v>
      </c>
      <c r="B965" s="302">
        <v>0.38032659928455786</v>
      </c>
      <c r="C965" s="302">
        <v>2.1473565127763609E-2</v>
      </c>
      <c r="D965" s="302">
        <v>0.40178611440895567</v>
      </c>
      <c r="E965" s="302">
        <f t="shared" si="413"/>
        <v>0.80358627882127709</v>
      </c>
      <c r="F965" s="303"/>
      <c r="G965" s="302">
        <v>0.23680432653969144</v>
      </c>
      <c r="H965" s="302">
        <v>3.4288888480549062E-2</v>
      </c>
      <c r="I965" s="302">
        <v>0.20414218002731271</v>
      </c>
      <c r="J965" s="302">
        <f>SUM(G965:I965)</f>
        <v>0.47523539504755324</v>
      </c>
      <c r="K965" s="303"/>
      <c r="L965" s="302">
        <v>0.35817961731689185</v>
      </c>
      <c r="M965" s="302">
        <v>6.6326331974685002E-2</v>
      </c>
      <c r="N965" s="302">
        <v>0.34816486184322137</v>
      </c>
      <c r="O965" s="302">
        <f t="shared" si="415"/>
        <v>0.77267081113479819</v>
      </c>
    </row>
    <row r="966" spans="1:15" s="236" customFormat="1" x14ac:dyDescent="0.2">
      <c r="A966" s="237" t="str">
        <f>name!E$9</f>
        <v>Caring, leisure and other service occupations</v>
      </c>
      <c r="B966" s="302">
        <v>0.42292631024996497</v>
      </c>
      <c r="C966" s="302">
        <v>8.4557670168782254E-2</v>
      </c>
      <c r="D966" s="302">
        <v>0.27207847870893537</v>
      </c>
      <c r="E966" s="302">
        <f t="shared" si="413"/>
        <v>0.77956245912768263</v>
      </c>
      <c r="F966" s="303"/>
      <c r="G966" s="302">
        <v>0.34780611143995527</v>
      </c>
      <c r="H966" s="302">
        <v>0.19842900394255358</v>
      </c>
      <c r="I966" s="302">
        <v>0.34030672648815219</v>
      </c>
      <c r="J966" s="302">
        <f t="shared" ref="J966:J969" si="416">SUM(G966:I966)</f>
        <v>0.8865418418706611</v>
      </c>
      <c r="K966" s="303"/>
      <c r="L966" s="302">
        <v>0.49260664020943284</v>
      </c>
      <c r="M966" s="302">
        <v>0.24279372364464008</v>
      </c>
      <c r="N966" s="302">
        <v>0.83186567425371716</v>
      </c>
      <c r="O966" s="302">
        <f t="shared" si="415"/>
        <v>1.5672660381077901</v>
      </c>
    </row>
    <row r="967" spans="1:15" s="236" customFormat="1" x14ac:dyDescent="0.2">
      <c r="A967" s="237" t="str">
        <f>name!E$10</f>
        <v>Sales and customer service occupations</v>
      </c>
      <c r="B967" s="302">
        <v>0.55970612210428994</v>
      </c>
      <c r="C967" s="302">
        <v>9.0320832675457596E-2</v>
      </c>
      <c r="D967" s="302">
        <v>0.17950113635820272</v>
      </c>
      <c r="E967" s="302">
        <f t="shared" si="413"/>
        <v>0.82952809113795023</v>
      </c>
      <c r="F967" s="303"/>
      <c r="G967" s="302">
        <v>0.4552541974303474</v>
      </c>
      <c r="H967" s="302">
        <v>0.23255343029322126</v>
      </c>
      <c r="I967" s="302">
        <v>0.10720084573006017</v>
      </c>
      <c r="J967" s="302">
        <f t="shared" si="416"/>
        <v>0.79500847345362879</v>
      </c>
      <c r="K967" s="303"/>
      <c r="L967" s="302">
        <v>0.63591019802853743</v>
      </c>
      <c r="M967" s="302">
        <v>0.39370411733810895</v>
      </c>
      <c r="N967" s="302">
        <v>0.14172257149540907</v>
      </c>
      <c r="O967" s="302">
        <f t="shared" si="415"/>
        <v>1.1713368868620555</v>
      </c>
    </row>
    <row r="968" spans="1:15" s="236" customFormat="1" x14ac:dyDescent="0.2">
      <c r="A968" s="237" t="str">
        <f>name!E$11</f>
        <v>Process, plant and machine operatives</v>
      </c>
      <c r="B968" s="302">
        <v>0.37149977921008581</v>
      </c>
      <c r="C968" s="302">
        <v>3.2148188389043798E-2</v>
      </c>
      <c r="D968" s="302">
        <v>8.0873015907450746E-2</v>
      </c>
      <c r="E968" s="302">
        <f t="shared" si="413"/>
        <v>0.48452098350658035</v>
      </c>
      <c r="F968" s="303"/>
      <c r="G968" s="302">
        <v>0.21509595617126639</v>
      </c>
      <c r="H968" s="302">
        <v>7.0359360468860307E-2</v>
      </c>
      <c r="I968" s="302">
        <v>6.2767123803309746E-2</v>
      </c>
      <c r="J968" s="302">
        <f t="shared" si="416"/>
        <v>0.34822244044343642</v>
      </c>
      <c r="K968" s="303"/>
      <c r="L968" s="302">
        <v>0.31795955181767338</v>
      </c>
      <c r="M968" s="302">
        <v>0.15239724025963228</v>
      </c>
      <c r="N968" s="302">
        <v>0.10931041714087961</v>
      </c>
      <c r="O968" s="302">
        <f t="shared" si="415"/>
        <v>0.57966720921818526</v>
      </c>
    </row>
    <row r="969" spans="1:15" s="236" customFormat="1" x14ac:dyDescent="0.2">
      <c r="A969" s="237" t="str">
        <f>name!E$12</f>
        <v>Elementary occupations</v>
      </c>
      <c r="B969" s="302">
        <v>1.7902343478146039</v>
      </c>
      <c r="C969" s="302">
        <v>0.34521325566106598</v>
      </c>
      <c r="D969" s="302">
        <v>0.75709009880419209</v>
      </c>
      <c r="E969" s="302">
        <f t="shared" si="413"/>
        <v>2.8925377022798622</v>
      </c>
      <c r="F969" s="303"/>
      <c r="G969" s="302">
        <v>1.1834405186086552</v>
      </c>
      <c r="H969" s="302">
        <v>0.6853578687810965</v>
      </c>
      <c r="I969" s="302">
        <v>0.61261523572338517</v>
      </c>
      <c r="J969" s="302">
        <f t="shared" si="416"/>
        <v>2.481413623113137</v>
      </c>
      <c r="K969" s="303"/>
      <c r="L969" s="302">
        <v>1.4496859662138084</v>
      </c>
      <c r="M969" s="302">
        <v>0.86737633268647485</v>
      </c>
      <c r="N969" s="302">
        <v>1.2301784753816154</v>
      </c>
      <c r="O969" s="302">
        <f t="shared" si="415"/>
        <v>3.5472407742818985</v>
      </c>
    </row>
    <row r="970" spans="1:15" s="236" customFormat="1" x14ac:dyDescent="0.2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2">
      <c r="A971" s="244" t="s">
        <v>32</v>
      </c>
      <c r="B971" s="311">
        <f>SUM(B961:B969)</f>
        <v>12.582999999947752</v>
      </c>
      <c r="C971" s="311">
        <f t="shared" ref="C971:E971" si="417">SUM(C961:C969)</f>
        <v>1.3230000000012603</v>
      </c>
      <c r="D971" s="311">
        <f t="shared" si="417"/>
        <v>6.1430000000968805</v>
      </c>
      <c r="E971" s="311">
        <f t="shared" si="417"/>
        <v>20.049000000045897</v>
      </c>
      <c r="F971" s="311"/>
      <c r="G971" s="311">
        <f t="shared" ref="G971:J971" si="418">SUM(G961:G969)</f>
        <v>11.080999999814569</v>
      </c>
      <c r="H971" s="311">
        <f t="shared" si="418"/>
        <v>3.4040000000020587</v>
      </c>
      <c r="I971" s="311">
        <f t="shared" si="418"/>
        <v>4.7919999999461016</v>
      </c>
      <c r="J971" s="311">
        <f t="shared" si="418"/>
        <v>19.276999999762729</v>
      </c>
      <c r="K971" s="311"/>
      <c r="L971" s="311">
        <f t="shared" ref="L971:O971" si="419">SUM(L961:L969)</f>
        <v>15.600999999988272</v>
      </c>
      <c r="M971" s="311">
        <f t="shared" si="419"/>
        <v>4.8920000000313655</v>
      </c>
      <c r="N971" s="311">
        <f t="shared" si="419"/>
        <v>7.4800000000847122</v>
      </c>
      <c r="O971" s="311">
        <f t="shared" si="419"/>
        <v>27.973000000104353</v>
      </c>
    </row>
    <row r="972" spans="1:15" s="236" customFormat="1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2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2">
      <c r="A975" s="241" t="str">
        <f>name!A60</f>
        <v>Veterinary</v>
      </c>
      <c r="B975" s="374">
        <f>$B$6</f>
        <v>2015</v>
      </c>
      <c r="C975" s="374"/>
      <c r="D975" s="374"/>
      <c r="E975" s="374"/>
      <c r="F975" s="263"/>
      <c r="G975" s="374">
        <f>$G$6</f>
        <v>2020</v>
      </c>
      <c r="H975" s="374"/>
      <c r="I975" s="374"/>
      <c r="J975" s="374"/>
      <c r="K975" s="263"/>
      <c r="L975" s="374">
        <f>$L$6</f>
        <v>2035</v>
      </c>
      <c r="M975" s="374"/>
      <c r="N975" s="374"/>
      <c r="O975" s="374"/>
    </row>
    <row r="976" spans="1:15" s="236" customFormat="1" x14ac:dyDescent="0.2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2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2">
      <c r="A978" s="237" t="str">
        <f>name!E$4</f>
        <v>Managers, directors and senior officials</v>
      </c>
      <c r="B978" s="302">
        <v>0.28944668350259961</v>
      </c>
      <c r="C978" s="302">
        <v>0.15855840177331193</v>
      </c>
      <c r="D978" s="302">
        <v>0.20950433285940756</v>
      </c>
      <c r="E978" s="302">
        <f>SUM(B978:D978)</f>
        <v>0.65750941813531916</v>
      </c>
      <c r="F978" s="303"/>
      <c r="G978" s="302">
        <v>0.31876624988320007</v>
      </c>
      <c r="H978" s="302">
        <v>0.12739043436268505</v>
      </c>
      <c r="I978" s="302">
        <v>0.18473322641277581</v>
      </c>
      <c r="J978" s="302">
        <f>SUM(G978:I978)</f>
        <v>0.63088991065866096</v>
      </c>
      <c r="K978" s="303"/>
      <c r="L978" s="302">
        <v>0.40794530866213186</v>
      </c>
      <c r="M978" s="302">
        <v>0.19169580647371501</v>
      </c>
      <c r="N978" s="302">
        <v>0.32304514832667042</v>
      </c>
      <c r="O978" s="302">
        <f>SUM(L978:N978)</f>
        <v>0.92268626346251725</v>
      </c>
    </row>
    <row r="979" spans="1:15" s="236" customFormat="1" x14ac:dyDescent="0.2">
      <c r="A979" s="237" t="str">
        <f>name!E$5</f>
        <v>Professional occupations</v>
      </c>
      <c r="B979" s="302">
        <v>1.6981527484925532</v>
      </c>
      <c r="C979" s="302">
        <v>1.1609242539330373</v>
      </c>
      <c r="D979" s="302">
        <v>1.1995328835618708</v>
      </c>
      <c r="E979" s="302">
        <f t="shared" ref="E979:E986" si="420">SUM(B979:D979)</f>
        <v>4.0586098859874618</v>
      </c>
      <c r="F979" s="303"/>
      <c r="G979" s="302">
        <v>2.2438490675642231</v>
      </c>
      <c r="H979" s="302">
        <v>0.9406341700225781</v>
      </c>
      <c r="I979" s="302">
        <v>1.3408119205639049</v>
      </c>
      <c r="J979" s="302">
        <f t="shared" ref="J979:J981" si="421">SUM(G979:I979)</f>
        <v>4.5252951581507057</v>
      </c>
      <c r="K979" s="303"/>
      <c r="L979" s="302">
        <v>3.2984576026897359</v>
      </c>
      <c r="M979" s="302">
        <v>1.5791814894243008</v>
      </c>
      <c r="N979" s="302">
        <v>2.2026067547549597</v>
      </c>
      <c r="O979" s="302">
        <f t="shared" ref="O979:O986" si="422">SUM(L979:N979)</f>
        <v>7.0802458468689959</v>
      </c>
    </row>
    <row r="980" spans="1:15" s="236" customFormat="1" x14ac:dyDescent="0.2">
      <c r="A980" s="237" t="str">
        <f>name!E$6</f>
        <v>Associate professional occupations</v>
      </c>
      <c r="B980" s="302">
        <v>0.63025971573265427</v>
      </c>
      <c r="C980" s="302">
        <v>0.63001864741440927</v>
      </c>
      <c r="D980" s="302">
        <v>0.60072322570297876</v>
      </c>
      <c r="E980" s="302">
        <f t="shared" si="420"/>
        <v>1.8610015888500424</v>
      </c>
      <c r="F980" s="303"/>
      <c r="G980" s="302">
        <v>0.75015279724104067</v>
      </c>
      <c r="H980" s="302">
        <v>0.4849041411533403</v>
      </c>
      <c r="I980" s="302">
        <v>0.54431618979290686</v>
      </c>
      <c r="J980" s="302">
        <f t="shared" si="421"/>
        <v>1.779373128187288</v>
      </c>
      <c r="K980" s="303"/>
      <c r="L980" s="302">
        <v>0.99205058976103355</v>
      </c>
      <c r="M980" s="302">
        <v>0.68908505551754085</v>
      </c>
      <c r="N980" s="302">
        <v>0.88187339615336091</v>
      </c>
      <c r="O980" s="302">
        <f t="shared" si="422"/>
        <v>2.5630090414319353</v>
      </c>
    </row>
    <row r="981" spans="1:15" s="236" customFormat="1" x14ac:dyDescent="0.2">
      <c r="A981" s="237" t="str">
        <f>name!E$7</f>
        <v>Administrative and secretarial occupations</v>
      </c>
      <c r="B981" s="302">
        <v>0.22026624274784784</v>
      </c>
      <c r="C981" s="302">
        <v>0.56751267602002331</v>
      </c>
      <c r="D981" s="302">
        <v>0.13389038698026012</v>
      </c>
      <c r="E981" s="302">
        <f t="shared" si="420"/>
        <v>0.92166930574813133</v>
      </c>
      <c r="F981" s="303"/>
      <c r="G981" s="302">
        <v>0.23944320962492902</v>
      </c>
      <c r="H981" s="302">
        <v>0.34334055827428217</v>
      </c>
      <c r="I981" s="302">
        <v>9.0243971143549484E-2</v>
      </c>
      <c r="J981" s="302">
        <f t="shared" si="421"/>
        <v>0.67302773904276059</v>
      </c>
      <c r="K981" s="303"/>
      <c r="L981" s="302">
        <v>0.27857557469211175</v>
      </c>
      <c r="M981" s="302">
        <v>0.27075904103713516</v>
      </c>
      <c r="N981" s="302">
        <v>6.8833057940437661E-2</v>
      </c>
      <c r="O981" s="302">
        <f t="shared" si="422"/>
        <v>0.61816767366968461</v>
      </c>
    </row>
    <row r="982" spans="1:15" s="236" customFormat="1" x14ac:dyDescent="0.2">
      <c r="A982" s="237" t="str">
        <f>name!E$8</f>
        <v>Skilled trades occupations</v>
      </c>
      <c r="B982" s="302">
        <v>7.1305854144814274E-2</v>
      </c>
      <c r="C982" s="302">
        <v>9.0502759616941569E-2</v>
      </c>
      <c r="D982" s="302">
        <v>6.373261126855935E-2</v>
      </c>
      <c r="E982" s="302">
        <f t="shared" si="420"/>
        <v>0.22554122503031521</v>
      </c>
      <c r="F982" s="303"/>
      <c r="G982" s="302">
        <v>5.1957816700793573E-2</v>
      </c>
      <c r="H982" s="302">
        <v>3.6090002283634647E-2</v>
      </c>
      <c r="I982" s="302">
        <v>4.0858345422688569E-2</v>
      </c>
      <c r="J982" s="302">
        <f>SUM(G982:I982)</f>
        <v>0.12890616440711677</v>
      </c>
      <c r="K982" s="303"/>
      <c r="L982" s="302">
        <v>2.889366866602595E-2</v>
      </c>
      <c r="M982" s="302">
        <v>3.1671653868009242E-2</v>
      </c>
      <c r="N982" s="302">
        <v>8.1003835218252634E-2</v>
      </c>
      <c r="O982" s="302">
        <f t="shared" si="422"/>
        <v>0.14156915775228784</v>
      </c>
    </row>
    <row r="983" spans="1:15" s="236" customFormat="1" x14ac:dyDescent="0.2">
      <c r="A983" s="237" t="str">
        <f>name!E$9</f>
        <v>Caring, leisure and other service occupations</v>
      </c>
      <c r="B983" s="302">
        <v>0.81779485965869692</v>
      </c>
      <c r="C983" s="302">
        <v>1.996250549896077</v>
      </c>
      <c r="D983" s="302">
        <v>1.4452500984448426</v>
      </c>
      <c r="E983" s="302">
        <f t="shared" si="420"/>
        <v>4.2592955079996164</v>
      </c>
      <c r="F983" s="303"/>
      <c r="G983" s="302">
        <v>0.97943143863638149</v>
      </c>
      <c r="H983" s="302">
        <v>1.3504532729765433</v>
      </c>
      <c r="I983" s="302">
        <v>1.5340533962954965</v>
      </c>
      <c r="J983" s="302">
        <f t="shared" ref="J983:J986" si="423">SUM(G983:I983)</f>
        <v>3.8639381079084214</v>
      </c>
      <c r="K983" s="303"/>
      <c r="L983" s="302">
        <v>1.4255527201836662</v>
      </c>
      <c r="M983" s="302">
        <v>2.027242424994899</v>
      </c>
      <c r="N983" s="302">
        <v>2.42274094179125</v>
      </c>
      <c r="O983" s="302">
        <f t="shared" si="422"/>
        <v>5.8755360869698148</v>
      </c>
    </row>
    <row r="984" spans="1:15" s="236" customFormat="1" x14ac:dyDescent="0.2">
      <c r="A984" s="237" t="str">
        <f>name!E$10</f>
        <v>Sales and customer service occupations</v>
      </c>
      <c r="B984" s="302">
        <v>4.2701081631458276E-2</v>
      </c>
      <c r="C984" s="302">
        <v>8.6904767701961053E-2</v>
      </c>
      <c r="D984" s="302">
        <v>4.6551880110471469E-2</v>
      </c>
      <c r="E984" s="302">
        <f t="shared" si="420"/>
        <v>0.1761577294438908</v>
      </c>
      <c r="F984" s="303"/>
      <c r="G984" s="302">
        <v>4.3221924550887601E-2</v>
      </c>
      <c r="H984" s="302">
        <v>5.2615078682146009E-2</v>
      </c>
      <c r="I984" s="302">
        <v>2.6326572501373175E-2</v>
      </c>
      <c r="J984" s="302">
        <f t="shared" si="423"/>
        <v>0.12216357573440678</v>
      </c>
      <c r="K984" s="303"/>
      <c r="L984" s="302">
        <v>6.013064285916711E-2</v>
      </c>
      <c r="M984" s="302">
        <v>6.4997371649659311E-2</v>
      </c>
      <c r="N984" s="302">
        <v>5.5239435660293552E-2</v>
      </c>
      <c r="O984" s="302">
        <f t="shared" si="422"/>
        <v>0.18036745016911998</v>
      </c>
    </row>
    <row r="985" spans="1:15" s="236" customFormat="1" x14ac:dyDescent="0.2">
      <c r="A985" s="237" t="str">
        <f>name!E$11</f>
        <v>Process, plant and machine operatives</v>
      </c>
      <c r="B985" s="302">
        <v>2.4194627851369235E-2</v>
      </c>
      <c r="C985" s="302">
        <v>0.10464730625364332</v>
      </c>
      <c r="D985" s="302">
        <v>1.4861196077442294E-2</v>
      </c>
      <c r="E985" s="302">
        <f t="shared" si="420"/>
        <v>0.14370313018245484</v>
      </c>
      <c r="F985" s="303"/>
      <c r="G985" s="302">
        <v>1.6846880844849962E-2</v>
      </c>
      <c r="H985" s="302">
        <v>5.0222500014039884E-2</v>
      </c>
      <c r="I985" s="302">
        <v>8.78207536693143E-3</v>
      </c>
      <c r="J985" s="302">
        <f t="shared" si="423"/>
        <v>7.5851456225821276E-2</v>
      </c>
      <c r="K985" s="303"/>
      <c r="L985" s="302">
        <v>1.4295061080225813E-2</v>
      </c>
      <c r="M985" s="302">
        <v>5.8750743649122424E-2</v>
      </c>
      <c r="N985" s="302">
        <v>1.3467838663647921E-2</v>
      </c>
      <c r="O985" s="302">
        <f t="shared" si="422"/>
        <v>8.6513643392996165E-2</v>
      </c>
    </row>
    <row r="986" spans="1:15" s="236" customFormat="1" x14ac:dyDescent="0.2">
      <c r="A986" s="237" t="str">
        <f>name!E$12</f>
        <v>Elementary occupations</v>
      </c>
      <c r="B986" s="302">
        <v>7.6878186229431447E-2</v>
      </c>
      <c r="C986" s="302">
        <v>0.37568063730838502</v>
      </c>
      <c r="D986" s="302">
        <v>6.2953384809926294E-2</v>
      </c>
      <c r="E986" s="302">
        <f t="shared" si="420"/>
        <v>0.51551220834774281</v>
      </c>
      <c r="F986" s="303"/>
      <c r="G986" s="302">
        <v>6.1330614884109659E-2</v>
      </c>
      <c r="H986" s="302">
        <v>0.17234984217628099</v>
      </c>
      <c r="I986" s="302">
        <v>3.0874302748758381E-2</v>
      </c>
      <c r="J986" s="302">
        <f t="shared" si="423"/>
        <v>0.264554759809149</v>
      </c>
      <c r="K986" s="303"/>
      <c r="L986" s="302">
        <v>5.1098831350184455E-2</v>
      </c>
      <c r="M986" s="302">
        <v>0.20761641337277728</v>
      </c>
      <c r="N986" s="302">
        <v>0.12618959151070511</v>
      </c>
      <c r="O986" s="302">
        <f t="shared" si="422"/>
        <v>0.38490483623366689</v>
      </c>
    </row>
    <row r="987" spans="1:15" s="236" customFormat="1" x14ac:dyDescent="0.2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2">
      <c r="A988" s="244" t="s">
        <v>32</v>
      </c>
      <c r="B988" s="311">
        <f>SUM(B978:B986)</f>
        <v>3.8709999999914246</v>
      </c>
      <c r="C988" s="311">
        <f t="shared" ref="C988:E988" si="424">SUM(C978:C986)</f>
        <v>5.1709999999177905</v>
      </c>
      <c r="D988" s="311">
        <f t="shared" si="424"/>
        <v>3.7769999998157595</v>
      </c>
      <c r="E988" s="311">
        <f t="shared" si="424"/>
        <v>12.818999999724976</v>
      </c>
      <c r="F988" s="311"/>
      <c r="G988" s="311">
        <f t="shared" ref="G988:J988" si="425">SUM(G978:G986)</f>
        <v>4.7049999999304148</v>
      </c>
      <c r="H988" s="311">
        <f t="shared" si="425"/>
        <v>3.5579999999455296</v>
      </c>
      <c r="I988" s="311">
        <f t="shared" si="425"/>
        <v>3.8010000002483855</v>
      </c>
      <c r="J988" s="311">
        <f t="shared" si="425"/>
        <v>12.064000000124331</v>
      </c>
      <c r="K988" s="311"/>
      <c r="L988" s="311">
        <f t="shared" ref="L988:O988" si="426">SUM(L978:L986)</f>
        <v>6.5569999999442823</v>
      </c>
      <c r="M988" s="311">
        <f t="shared" si="426"/>
        <v>5.12099999998716</v>
      </c>
      <c r="N988" s="311">
        <f t="shared" si="426"/>
        <v>6.1750000000195788</v>
      </c>
      <c r="O988" s="311">
        <f t="shared" si="426"/>
        <v>17.85299999995102</v>
      </c>
    </row>
    <row r="989" spans="1:15" s="236" customFormat="1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2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2">
      <c r="A992" s="241" t="str">
        <f>name!A61</f>
        <v>Rental and leasing</v>
      </c>
      <c r="B992" s="374">
        <f>$B$6</f>
        <v>2015</v>
      </c>
      <c r="C992" s="374"/>
      <c r="D992" s="374"/>
      <c r="E992" s="374"/>
      <c r="F992" s="263"/>
      <c r="G992" s="374">
        <f>$G$6</f>
        <v>2020</v>
      </c>
      <c r="H992" s="374"/>
      <c r="I992" s="374"/>
      <c r="J992" s="374"/>
      <c r="K992" s="263"/>
      <c r="L992" s="374">
        <f>$L$6</f>
        <v>2035</v>
      </c>
      <c r="M992" s="374"/>
      <c r="N992" s="374"/>
      <c r="O992" s="374"/>
    </row>
    <row r="993" spans="1:15" s="236" customFormat="1" x14ac:dyDescent="0.2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2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2">
      <c r="A995" s="237" t="str">
        <f>name!E$4</f>
        <v>Managers, directors and senior officials</v>
      </c>
      <c r="B995" s="302">
        <v>1.8222750463923376</v>
      </c>
      <c r="C995" s="302">
        <v>5.6314884501786823E-2</v>
      </c>
      <c r="D995" s="302">
        <v>0.53265396407010934</v>
      </c>
      <c r="E995" s="302">
        <f>SUM(B995:D995)</f>
        <v>2.4112438949642341</v>
      </c>
      <c r="F995" s="303"/>
      <c r="G995" s="302">
        <v>1.9540763725256469</v>
      </c>
      <c r="H995" s="302">
        <v>8.3807696665240572E-2</v>
      </c>
      <c r="I995" s="302">
        <v>0.79348948129401109</v>
      </c>
      <c r="J995" s="302">
        <f>SUM(G995:I995)</f>
        <v>2.8313735504848987</v>
      </c>
      <c r="K995" s="303"/>
      <c r="L995" s="302">
        <v>2.4281864861853366</v>
      </c>
      <c r="M995" s="302">
        <v>0.10225805295579354</v>
      </c>
      <c r="N995" s="302">
        <v>1.0856095141071733</v>
      </c>
      <c r="O995" s="302">
        <f>SUM(L995:N995)</f>
        <v>3.6160540532483036</v>
      </c>
    </row>
    <row r="996" spans="1:15" s="236" customFormat="1" x14ac:dyDescent="0.2">
      <c r="A996" s="237" t="str">
        <f>name!E$5</f>
        <v>Professional occupations</v>
      </c>
      <c r="B996" s="302">
        <v>1.6289919162589515</v>
      </c>
      <c r="C996" s="302">
        <v>5.6537724308378001E-2</v>
      </c>
      <c r="D996" s="302">
        <v>0.20265296350609072</v>
      </c>
      <c r="E996" s="302">
        <f t="shared" ref="E996:E1003" si="427">SUM(B996:D996)</f>
        <v>1.8881826040734202</v>
      </c>
      <c r="F996" s="303"/>
      <c r="G996" s="302">
        <v>1.9436892740536804</v>
      </c>
      <c r="H996" s="302">
        <v>8.7345246888349048E-2</v>
      </c>
      <c r="I996" s="302">
        <v>0.29126484969469019</v>
      </c>
      <c r="J996" s="302">
        <f t="shared" ref="J996:J998" si="428">SUM(G996:I996)</f>
        <v>2.3222993706367197</v>
      </c>
      <c r="K996" s="303"/>
      <c r="L996" s="302">
        <v>2.7667054782677507</v>
      </c>
      <c r="M996" s="302">
        <v>0.12310214373310595</v>
      </c>
      <c r="N996" s="302">
        <v>0.26772957327115243</v>
      </c>
      <c r="O996" s="302">
        <f t="shared" ref="O996:O1003" si="429">SUM(L996:N996)</f>
        <v>3.1575371952720093</v>
      </c>
    </row>
    <row r="997" spans="1:15" s="236" customFormat="1" x14ac:dyDescent="0.2">
      <c r="A997" s="237" t="str">
        <f>name!E$6</f>
        <v>Associate professional occupations</v>
      </c>
      <c r="B997" s="302">
        <v>1.2443832291703107</v>
      </c>
      <c r="C997" s="302">
        <v>8.7521660729245471E-2</v>
      </c>
      <c r="D997" s="302">
        <v>0.20990704469865551</v>
      </c>
      <c r="E997" s="302">
        <f t="shared" si="427"/>
        <v>1.5418119345982118</v>
      </c>
      <c r="F997" s="303"/>
      <c r="G997" s="302">
        <v>1.4082469909295661</v>
      </c>
      <c r="H997" s="302">
        <v>0.1125439827436084</v>
      </c>
      <c r="I997" s="302">
        <v>0.26552306636526507</v>
      </c>
      <c r="J997" s="302">
        <f t="shared" si="428"/>
        <v>1.7863140400384394</v>
      </c>
      <c r="K997" s="303"/>
      <c r="L997" s="302">
        <v>1.6380507258527333</v>
      </c>
      <c r="M997" s="302">
        <v>0.11832031279713676</v>
      </c>
      <c r="N997" s="302">
        <v>0.28680367326942702</v>
      </c>
      <c r="O997" s="302">
        <f t="shared" si="429"/>
        <v>2.0431747119192973</v>
      </c>
    </row>
    <row r="998" spans="1:15" s="236" customFormat="1" x14ac:dyDescent="0.2">
      <c r="A998" s="237" t="str">
        <f>name!E$7</f>
        <v>Administrative and secretarial occupations</v>
      </c>
      <c r="B998" s="302">
        <v>1.0265734267018529</v>
      </c>
      <c r="C998" s="302">
        <v>0.27235244361776573</v>
      </c>
      <c r="D998" s="302">
        <v>0.13261110041619528</v>
      </c>
      <c r="E998" s="302">
        <f t="shared" si="427"/>
        <v>1.4315369707358139</v>
      </c>
      <c r="F998" s="303"/>
      <c r="G998" s="302">
        <v>1.025420190503024</v>
      </c>
      <c r="H998" s="302">
        <v>0.31225893013352934</v>
      </c>
      <c r="I998" s="302">
        <v>0.15739430193677617</v>
      </c>
      <c r="J998" s="302">
        <f t="shared" si="428"/>
        <v>1.4950734225733293</v>
      </c>
      <c r="K998" s="303"/>
      <c r="L998" s="302">
        <v>0.997665001708819</v>
      </c>
      <c r="M998" s="302">
        <v>0.30341406833543294</v>
      </c>
      <c r="N998" s="302">
        <v>0.18257919685796464</v>
      </c>
      <c r="O998" s="302">
        <f t="shared" si="429"/>
        <v>1.4836582669022165</v>
      </c>
    </row>
    <row r="999" spans="1:15" s="236" customFormat="1" x14ac:dyDescent="0.2">
      <c r="A999" s="237" t="str">
        <f>name!E$8</f>
        <v>Skilled trades occupations</v>
      </c>
      <c r="B999" s="302">
        <v>1.2946166796257421</v>
      </c>
      <c r="C999" s="302">
        <v>6.1686664548800188E-2</v>
      </c>
      <c r="D999" s="302">
        <v>0.24782330284956197</v>
      </c>
      <c r="E999" s="302">
        <f t="shared" si="427"/>
        <v>1.6041266470241042</v>
      </c>
      <c r="F999" s="303"/>
      <c r="G999" s="302">
        <v>1.0068051932938167</v>
      </c>
      <c r="H999" s="302">
        <v>3.5847562326645856E-2</v>
      </c>
      <c r="I999" s="302">
        <v>0.3021146672276005</v>
      </c>
      <c r="J999" s="302">
        <f>SUM(G999:I999)</f>
        <v>1.3447674228480631</v>
      </c>
      <c r="K999" s="303"/>
      <c r="L999" s="302">
        <v>1.0758662775067827</v>
      </c>
      <c r="M999" s="302">
        <v>5.099388461296394E-2</v>
      </c>
      <c r="N999" s="302">
        <v>0.40547122520146034</v>
      </c>
      <c r="O999" s="302">
        <f t="shared" si="429"/>
        <v>1.5323313873212068</v>
      </c>
    </row>
    <row r="1000" spans="1:15" s="236" customFormat="1" x14ac:dyDescent="0.2">
      <c r="A1000" s="237" t="str">
        <f>name!E$9</f>
        <v>Caring, leisure and other service occupations</v>
      </c>
      <c r="B1000" s="302">
        <v>0.35108364011242371</v>
      </c>
      <c r="C1000" s="302">
        <v>5.9354860185348572E-2</v>
      </c>
      <c r="D1000" s="302">
        <v>0.11240550515774865</v>
      </c>
      <c r="E1000" s="302">
        <f t="shared" si="427"/>
        <v>0.5228440054555209</v>
      </c>
      <c r="F1000" s="303"/>
      <c r="G1000" s="302">
        <v>0.33389143824699408</v>
      </c>
      <c r="H1000" s="302">
        <v>6.1576293031352335E-2</v>
      </c>
      <c r="I1000" s="302">
        <v>0.16442258992033695</v>
      </c>
      <c r="J1000" s="302">
        <f t="shared" ref="J1000:J1003" si="430">SUM(G1000:I1000)</f>
        <v>0.55989032119868332</v>
      </c>
      <c r="K1000" s="303"/>
      <c r="L1000" s="302">
        <v>0.5812734515776129</v>
      </c>
      <c r="M1000" s="302">
        <v>7.9635007068808272E-2</v>
      </c>
      <c r="N1000" s="302">
        <v>0.23557479995841046</v>
      </c>
      <c r="O1000" s="302">
        <f t="shared" si="429"/>
        <v>0.89648325860483158</v>
      </c>
    </row>
    <row r="1001" spans="1:15" s="236" customFormat="1" x14ac:dyDescent="0.2">
      <c r="A1001" s="237" t="str">
        <f>name!E$10</f>
        <v>Sales and customer service occupations</v>
      </c>
      <c r="B1001" s="302">
        <v>0.5805824780423734</v>
      </c>
      <c r="C1001" s="302">
        <v>0.44017958744410224</v>
      </c>
      <c r="D1001" s="302">
        <v>0.32417029081525478</v>
      </c>
      <c r="E1001" s="302">
        <f t="shared" si="427"/>
        <v>1.3449323563017306</v>
      </c>
      <c r="F1001" s="303"/>
      <c r="G1001" s="302">
        <v>0.54804462871967208</v>
      </c>
      <c r="H1001" s="302">
        <v>0.42732960789858127</v>
      </c>
      <c r="I1001" s="302">
        <v>0.33872100043565873</v>
      </c>
      <c r="J1001" s="302">
        <f t="shared" si="430"/>
        <v>1.3140952370539121</v>
      </c>
      <c r="K1001" s="303"/>
      <c r="L1001" s="302">
        <v>0.66598376914632806</v>
      </c>
      <c r="M1001" s="302">
        <v>0.53458769004197437</v>
      </c>
      <c r="N1001" s="302">
        <v>0.31731892956236352</v>
      </c>
      <c r="O1001" s="302">
        <f t="shared" si="429"/>
        <v>1.5178903887506661</v>
      </c>
    </row>
    <row r="1002" spans="1:15" s="236" customFormat="1" x14ac:dyDescent="0.2">
      <c r="A1002" s="237" t="str">
        <f>name!E$11</f>
        <v>Process, plant and machine operatives</v>
      </c>
      <c r="B1002" s="302">
        <v>1.6892206539933436</v>
      </c>
      <c r="C1002" s="302">
        <v>0.3939478532407158</v>
      </c>
      <c r="D1002" s="302">
        <v>0.13365008683090082</v>
      </c>
      <c r="E1002" s="302">
        <f t="shared" si="427"/>
        <v>2.2168185940649603</v>
      </c>
      <c r="F1002" s="303"/>
      <c r="G1002" s="302">
        <v>1.3380140063769259</v>
      </c>
      <c r="H1002" s="302">
        <v>0.3704236465856694</v>
      </c>
      <c r="I1002" s="302">
        <v>0.23738459742800291</v>
      </c>
      <c r="J1002" s="302">
        <f t="shared" si="430"/>
        <v>1.9458222503905982</v>
      </c>
      <c r="K1002" s="303"/>
      <c r="L1002" s="302">
        <v>1.6167844965796001</v>
      </c>
      <c r="M1002" s="302">
        <v>0.46259932682963878</v>
      </c>
      <c r="N1002" s="302">
        <v>0.24229854190932579</v>
      </c>
      <c r="O1002" s="302">
        <f t="shared" si="429"/>
        <v>2.3216823653185648</v>
      </c>
    </row>
    <row r="1003" spans="1:15" s="236" customFormat="1" x14ac:dyDescent="0.2">
      <c r="A1003" s="237" t="str">
        <f>name!E$12</f>
        <v>Elementary occupations</v>
      </c>
      <c r="B1003" s="302">
        <v>0.24027292967427852</v>
      </c>
      <c r="C1003" s="302">
        <v>0.11710432143721766</v>
      </c>
      <c r="D1003" s="302">
        <v>0.12012574167586945</v>
      </c>
      <c r="E1003" s="302">
        <f t="shared" si="427"/>
        <v>0.47750299278736563</v>
      </c>
      <c r="F1003" s="303"/>
      <c r="G1003" s="302">
        <v>0.18481190534960559</v>
      </c>
      <c r="H1003" s="302">
        <v>9.3867033743033859E-2</v>
      </c>
      <c r="I1003" s="302">
        <v>0.12268544571606776</v>
      </c>
      <c r="J1003" s="302">
        <f t="shared" si="430"/>
        <v>0.40136438480870723</v>
      </c>
      <c r="K1003" s="303"/>
      <c r="L1003" s="302">
        <v>0.21248431317831279</v>
      </c>
      <c r="M1003" s="302">
        <v>9.6089513629593282E-2</v>
      </c>
      <c r="N1003" s="302">
        <v>0.19261454591016941</v>
      </c>
      <c r="O1003" s="302">
        <f t="shared" si="429"/>
        <v>0.50118837271807548</v>
      </c>
    </row>
    <row r="1004" spans="1:15" s="236" customFormat="1" x14ac:dyDescent="0.2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2">
      <c r="A1005" s="244" t="s">
        <v>32</v>
      </c>
      <c r="B1005" s="311">
        <f>SUM(B995:B1003)</f>
        <v>9.8779999999716122</v>
      </c>
      <c r="C1005" s="311">
        <f t="shared" ref="C1005:E1005" si="431">SUM(C995:C1003)</f>
        <v>1.5450000000133604</v>
      </c>
      <c r="D1005" s="311">
        <f t="shared" si="431"/>
        <v>2.0160000000203864</v>
      </c>
      <c r="E1005" s="311">
        <f t="shared" si="431"/>
        <v>13.439000000005363</v>
      </c>
      <c r="F1005" s="311"/>
      <c r="G1005" s="311">
        <f t="shared" ref="G1005:J1005" si="432">SUM(G995:G1003)</f>
        <v>9.7429999999989327</v>
      </c>
      <c r="H1005" s="311">
        <f t="shared" si="432"/>
        <v>1.58500000001601</v>
      </c>
      <c r="I1005" s="311">
        <f t="shared" si="432"/>
        <v>2.6730000000184093</v>
      </c>
      <c r="J1005" s="311">
        <f t="shared" si="432"/>
        <v>14.001000000033351</v>
      </c>
      <c r="K1005" s="311"/>
      <c r="L1005" s="311">
        <f t="shared" ref="L1005:O1005" si="433">SUM(L995:L1003)</f>
        <v>11.983000000003276</v>
      </c>
      <c r="M1005" s="311">
        <f t="shared" si="433"/>
        <v>1.8710000000044475</v>
      </c>
      <c r="N1005" s="311">
        <f t="shared" si="433"/>
        <v>3.2160000000474471</v>
      </c>
      <c r="O1005" s="311">
        <f t="shared" si="433"/>
        <v>17.070000000055174</v>
      </c>
    </row>
    <row r="1006" spans="1:15" s="236" customFormat="1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2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2">
      <c r="A1009" s="241" t="str">
        <f>name!A62</f>
        <v>Employment activities</v>
      </c>
      <c r="B1009" s="374">
        <f>$B$6</f>
        <v>2015</v>
      </c>
      <c r="C1009" s="374"/>
      <c r="D1009" s="374"/>
      <c r="E1009" s="374"/>
      <c r="F1009" s="263"/>
      <c r="G1009" s="374">
        <f>$G$6</f>
        <v>2020</v>
      </c>
      <c r="H1009" s="374"/>
      <c r="I1009" s="374"/>
      <c r="J1009" s="374"/>
      <c r="K1009" s="263"/>
      <c r="L1009" s="374">
        <f>$L$6</f>
        <v>2035</v>
      </c>
      <c r="M1009" s="374"/>
      <c r="N1009" s="374"/>
      <c r="O1009" s="374"/>
    </row>
    <row r="1010" spans="1:15" s="236" customFormat="1" x14ac:dyDescent="0.2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2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2">
      <c r="A1012" s="237" t="str">
        <f>name!E$4</f>
        <v>Managers, directors and senior officials</v>
      </c>
      <c r="B1012" s="302">
        <v>3.5521949333709677</v>
      </c>
      <c r="C1012" s="302">
        <v>0.48679121166573291</v>
      </c>
      <c r="D1012" s="302">
        <v>0.90300157704356621</v>
      </c>
      <c r="E1012" s="302">
        <f>SUM(B1012:D1012)</f>
        <v>4.9419877220802668</v>
      </c>
      <c r="F1012" s="303"/>
      <c r="G1012" s="302">
        <v>4.2010816404764464</v>
      </c>
      <c r="H1012" s="302">
        <v>0.64344561518697163</v>
      </c>
      <c r="I1012" s="302">
        <v>1.4487769525225775</v>
      </c>
      <c r="J1012" s="302">
        <f>SUM(G1012:I1012)</f>
        <v>6.2933042081859956</v>
      </c>
      <c r="K1012" s="303"/>
      <c r="L1012" s="302">
        <v>5.4079459267172023</v>
      </c>
      <c r="M1012" s="302">
        <v>0.76126982068433158</v>
      </c>
      <c r="N1012" s="302">
        <v>1.7932274794108867</v>
      </c>
      <c r="O1012" s="302">
        <f>SUM(L1012:N1012)</f>
        <v>7.9624432268124208</v>
      </c>
    </row>
    <row r="1013" spans="1:15" s="236" customFormat="1" x14ac:dyDescent="0.2">
      <c r="A1013" s="237" t="str">
        <f>name!E$5</f>
        <v>Professional occupations</v>
      </c>
      <c r="B1013" s="302">
        <v>3.9870076456015382</v>
      </c>
      <c r="C1013" s="302">
        <v>0.8905078190634792</v>
      </c>
      <c r="D1013" s="302">
        <v>0.93874676365032306</v>
      </c>
      <c r="E1013" s="302">
        <f t="shared" ref="E1013:E1020" si="434">SUM(B1013:D1013)</f>
        <v>5.81626222831534</v>
      </c>
      <c r="F1013" s="303"/>
      <c r="G1013" s="302">
        <v>5.4664237685231969</v>
      </c>
      <c r="H1013" s="302">
        <v>1.2027045398711087</v>
      </c>
      <c r="I1013" s="302">
        <v>1.3492442298844785</v>
      </c>
      <c r="J1013" s="302">
        <f t="shared" ref="J1013:J1015" si="435">SUM(G1013:I1013)</f>
        <v>8.0183725382787845</v>
      </c>
      <c r="K1013" s="303"/>
      <c r="L1013" s="302">
        <v>7.9512371475042993</v>
      </c>
      <c r="M1013" s="302">
        <v>1.7180420125008684</v>
      </c>
      <c r="N1013" s="302">
        <v>1.2413176009433429</v>
      </c>
      <c r="O1013" s="302">
        <f t="shared" ref="O1013:O1020" si="436">SUM(L1013:N1013)</f>
        <v>10.910596760948511</v>
      </c>
    </row>
    <row r="1014" spans="1:15" s="236" customFormat="1" x14ac:dyDescent="0.2">
      <c r="A1014" s="237" t="str">
        <f>name!E$6</f>
        <v>Associate professional occupations</v>
      </c>
      <c r="B1014" s="302">
        <v>5.0274580287976693</v>
      </c>
      <c r="C1014" s="302">
        <v>1.2730064656972646</v>
      </c>
      <c r="D1014" s="302">
        <v>2.8363782334675771</v>
      </c>
      <c r="E1014" s="302">
        <f t="shared" si="434"/>
        <v>9.1368427279625113</v>
      </c>
      <c r="F1014" s="303"/>
      <c r="G1014" s="302">
        <v>6.177321287816353</v>
      </c>
      <c r="H1014" s="302">
        <v>1.4439876705178194</v>
      </c>
      <c r="I1014" s="302">
        <v>4.0410555860120541</v>
      </c>
      <c r="J1014" s="302">
        <f t="shared" si="435"/>
        <v>11.662364544346225</v>
      </c>
      <c r="K1014" s="303"/>
      <c r="L1014" s="302">
        <v>7.1985035577150276</v>
      </c>
      <c r="M1014" s="302">
        <v>1.897991645146649</v>
      </c>
      <c r="N1014" s="302">
        <v>4.1726979853388615</v>
      </c>
      <c r="O1014" s="302">
        <f t="shared" si="436"/>
        <v>13.269193188200539</v>
      </c>
    </row>
    <row r="1015" spans="1:15" s="236" customFormat="1" x14ac:dyDescent="0.2">
      <c r="A1015" s="237" t="str">
        <f>name!E$7</f>
        <v>Administrative and secretarial occupations</v>
      </c>
      <c r="B1015" s="302">
        <v>3.1860823304239716</v>
      </c>
      <c r="C1015" s="302">
        <v>2.2950112281520556</v>
      </c>
      <c r="D1015" s="302">
        <v>0.50667789302820199</v>
      </c>
      <c r="E1015" s="302">
        <f t="shared" si="434"/>
        <v>5.98777145160423</v>
      </c>
      <c r="F1015" s="303"/>
      <c r="G1015" s="302">
        <v>3.443191652382382</v>
      </c>
      <c r="H1015" s="302">
        <v>2.3144382834082218</v>
      </c>
      <c r="I1015" s="302">
        <v>0.7328289918461508</v>
      </c>
      <c r="J1015" s="302">
        <f t="shared" si="435"/>
        <v>6.4904589276367544</v>
      </c>
      <c r="K1015" s="303"/>
      <c r="L1015" s="302">
        <v>3.1010902908182381</v>
      </c>
      <c r="M1015" s="302">
        <v>2.5391086871152502</v>
      </c>
      <c r="N1015" s="302">
        <v>0.90912811953771278</v>
      </c>
      <c r="O1015" s="302">
        <f t="shared" si="436"/>
        <v>6.5493270974712017</v>
      </c>
    </row>
    <row r="1016" spans="1:15" s="236" customFormat="1" x14ac:dyDescent="0.2">
      <c r="A1016" s="237" t="str">
        <f>name!E$8</f>
        <v>Skilled trades occupations</v>
      </c>
      <c r="B1016" s="302">
        <v>1.4323623445473481</v>
      </c>
      <c r="C1016" s="302">
        <v>0.38379671960833239</v>
      </c>
      <c r="D1016" s="302">
        <v>0.79459392459428291</v>
      </c>
      <c r="E1016" s="302">
        <f t="shared" si="434"/>
        <v>2.6107529887499634</v>
      </c>
      <c r="F1016" s="303"/>
      <c r="G1016" s="302">
        <v>1.197630142474462</v>
      </c>
      <c r="H1016" s="302">
        <v>0.23746229032087413</v>
      </c>
      <c r="I1016" s="302">
        <v>0.92620087965033393</v>
      </c>
      <c r="J1016" s="302">
        <f>SUM(G1016:I1016)</f>
        <v>2.3612933124456701</v>
      </c>
      <c r="K1016" s="303"/>
      <c r="L1016" s="302">
        <v>1.3280327715676794</v>
      </c>
      <c r="M1016" s="302">
        <v>0.33674448375012955</v>
      </c>
      <c r="N1016" s="302">
        <v>0.87060664250771969</v>
      </c>
      <c r="O1016" s="302">
        <f t="shared" si="436"/>
        <v>2.535383897825529</v>
      </c>
    </row>
    <row r="1017" spans="1:15" s="236" customFormat="1" x14ac:dyDescent="0.2">
      <c r="A1017" s="237" t="str">
        <f>name!E$9</f>
        <v>Caring, leisure and other service occupations</v>
      </c>
      <c r="B1017" s="302">
        <v>2.2418525692088092</v>
      </c>
      <c r="C1017" s="302">
        <v>2.003633459195675</v>
      </c>
      <c r="D1017" s="302">
        <v>0.7557727303623244</v>
      </c>
      <c r="E1017" s="302">
        <f t="shared" si="434"/>
        <v>5.0012587587668085</v>
      </c>
      <c r="F1017" s="303"/>
      <c r="G1017" s="302">
        <v>2.4400247174869927</v>
      </c>
      <c r="H1017" s="302">
        <v>1.9779021685018938</v>
      </c>
      <c r="I1017" s="302">
        <v>1.3776920724802117</v>
      </c>
      <c r="J1017" s="302">
        <f t="shared" ref="J1017:J1020" si="437">SUM(G1017:I1017)</f>
        <v>5.795618958469098</v>
      </c>
      <c r="K1017" s="303"/>
      <c r="L1017" s="302">
        <v>3.223848036279839</v>
      </c>
      <c r="M1017" s="302">
        <v>2.4926468925626217</v>
      </c>
      <c r="N1017" s="302">
        <v>1.8176858647681697</v>
      </c>
      <c r="O1017" s="302">
        <f t="shared" si="436"/>
        <v>7.5341807936106306</v>
      </c>
    </row>
    <row r="1018" spans="1:15" s="236" customFormat="1" x14ac:dyDescent="0.2">
      <c r="A1018" s="237" t="str">
        <f>name!E$10</f>
        <v>Sales and customer service occupations</v>
      </c>
      <c r="B1018" s="302">
        <v>1.6769104187753907</v>
      </c>
      <c r="C1018" s="302">
        <v>1.3342834849534613</v>
      </c>
      <c r="D1018" s="302">
        <v>0.28026669565418116</v>
      </c>
      <c r="E1018" s="302">
        <f t="shared" si="434"/>
        <v>3.2914605993830333</v>
      </c>
      <c r="F1018" s="303"/>
      <c r="G1018" s="302">
        <v>1.7768855237690955</v>
      </c>
      <c r="H1018" s="302">
        <v>1.24180180451962</v>
      </c>
      <c r="I1018" s="302">
        <v>0.32863013241560901</v>
      </c>
      <c r="J1018" s="302">
        <f t="shared" si="437"/>
        <v>3.3473174607043243</v>
      </c>
      <c r="K1018" s="303"/>
      <c r="L1018" s="302">
        <v>2.2654707384643125</v>
      </c>
      <c r="M1018" s="302">
        <v>1.996819981327757</v>
      </c>
      <c r="N1018" s="302">
        <v>0.32654716349838109</v>
      </c>
      <c r="O1018" s="302">
        <f t="shared" si="436"/>
        <v>4.5888378832904504</v>
      </c>
    </row>
    <row r="1019" spans="1:15" s="236" customFormat="1" x14ac:dyDescent="0.2">
      <c r="A1019" s="237" t="str">
        <f>name!E$11</f>
        <v>Process, plant and machine operatives</v>
      </c>
      <c r="B1019" s="302">
        <v>1.9948338256412412</v>
      </c>
      <c r="C1019" s="302">
        <v>0.72451963168350075</v>
      </c>
      <c r="D1019" s="302">
        <v>0.12804275853518698</v>
      </c>
      <c r="E1019" s="302">
        <f t="shared" si="434"/>
        <v>2.8473962158599289</v>
      </c>
      <c r="F1019" s="303"/>
      <c r="G1019" s="302">
        <v>1.6924035156086967</v>
      </c>
      <c r="H1019" s="302">
        <v>0.64078738316364203</v>
      </c>
      <c r="I1019" s="302">
        <v>0.20213976785256499</v>
      </c>
      <c r="J1019" s="302">
        <f t="shared" si="437"/>
        <v>2.5353306666249038</v>
      </c>
      <c r="K1019" s="303"/>
      <c r="L1019" s="302">
        <v>2.0687018737194394</v>
      </c>
      <c r="M1019" s="302">
        <v>1.0218417049091384</v>
      </c>
      <c r="N1019" s="302">
        <v>0.29447368322065692</v>
      </c>
      <c r="O1019" s="302">
        <f t="shared" si="436"/>
        <v>3.3850172618492347</v>
      </c>
    </row>
    <row r="1020" spans="1:15" s="236" customFormat="1" x14ac:dyDescent="0.2">
      <c r="A1020" s="237" t="str">
        <f>name!E$12</f>
        <v>Elementary occupations</v>
      </c>
      <c r="B1020" s="302">
        <v>11.338297903557553</v>
      </c>
      <c r="C1020" s="302">
        <v>9.7574499800654362</v>
      </c>
      <c r="D1020" s="302">
        <v>2.6195194238213526</v>
      </c>
      <c r="E1020" s="302">
        <f t="shared" si="434"/>
        <v>23.715267307444343</v>
      </c>
      <c r="F1020" s="303"/>
      <c r="G1020" s="302">
        <v>10.412037751619849</v>
      </c>
      <c r="H1020" s="302">
        <v>7.2724702446401155</v>
      </c>
      <c r="I1020" s="302">
        <v>3.1504313872855452</v>
      </c>
      <c r="J1020" s="302">
        <f t="shared" si="437"/>
        <v>20.83493938354551</v>
      </c>
      <c r="K1020" s="303"/>
      <c r="L1020" s="302">
        <v>12.915169657303402</v>
      </c>
      <c r="M1020" s="302">
        <v>7.2055347721485736</v>
      </c>
      <c r="N1020" s="302">
        <v>4.9023154609355677</v>
      </c>
      <c r="O1020" s="302">
        <f t="shared" si="436"/>
        <v>25.023019890387545</v>
      </c>
    </row>
    <row r="1021" spans="1:15" s="236" customFormat="1" x14ac:dyDescent="0.2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2">
      <c r="A1022" s="244" t="s">
        <v>32</v>
      </c>
      <c r="B1022" s="311">
        <f>SUM(B1012:B1020)</f>
        <v>34.436999999924481</v>
      </c>
      <c r="C1022" s="311">
        <f t="shared" ref="C1022:E1022" si="438">SUM(C1012:C1020)</f>
        <v>19.149000000084939</v>
      </c>
      <c r="D1022" s="311">
        <f t="shared" si="438"/>
        <v>9.7630000001569979</v>
      </c>
      <c r="E1022" s="311">
        <f t="shared" si="438"/>
        <v>63.349000000166434</v>
      </c>
      <c r="F1022" s="311"/>
      <c r="G1022" s="311">
        <f t="shared" ref="G1022:J1022" si="439">SUM(G1012:G1020)</f>
        <v>36.807000000157473</v>
      </c>
      <c r="H1022" s="311">
        <f t="shared" si="439"/>
        <v>16.975000000130265</v>
      </c>
      <c r="I1022" s="311">
        <f t="shared" si="439"/>
        <v>13.556999999949525</v>
      </c>
      <c r="J1022" s="311">
        <f t="shared" si="439"/>
        <v>67.339000000237263</v>
      </c>
      <c r="K1022" s="311"/>
      <c r="L1022" s="311">
        <f t="shared" ref="L1022:O1022" si="440">SUM(L1012:L1020)</f>
        <v>45.460000000089437</v>
      </c>
      <c r="M1022" s="311">
        <f t="shared" si="440"/>
        <v>19.970000000145319</v>
      </c>
      <c r="N1022" s="311">
        <f t="shared" si="440"/>
        <v>16.3280000001613</v>
      </c>
      <c r="O1022" s="311">
        <f t="shared" si="440"/>
        <v>81.758000000396066</v>
      </c>
    </row>
    <row r="1023" spans="1:15" s="236" customFormat="1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2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2">
      <c r="A1026" s="241" t="str">
        <f>name!A63</f>
        <v>Travel, etc</v>
      </c>
      <c r="B1026" s="374">
        <f>$B$6</f>
        <v>2015</v>
      </c>
      <c r="C1026" s="374"/>
      <c r="D1026" s="374"/>
      <c r="E1026" s="374"/>
      <c r="F1026" s="263"/>
      <c r="G1026" s="374">
        <f>$G$6</f>
        <v>2020</v>
      </c>
      <c r="H1026" s="374"/>
      <c r="I1026" s="374"/>
      <c r="J1026" s="374"/>
      <c r="K1026" s="263"/>
      <c r="L1026" s="374">
        <f>$L$6</f>
        <v>2035</v>
      </c>
      <c r="M1026" s="374"/>
      <c r="N1026" s="374"/>
      <c r="O1026" s="374"/>
    </row>
    <row r="1027" spans="1:15" s="236" customFormat="1" x14ac:dyDescent="0.2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2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2">
      <c r="A1029" s="237" t="str">
        <f>name!E$4</f>
        <v>Managers, directors and senior officials</v>
      </c>
      <c r="B1029" s="302">
        <v>0.44500352984501956</v>
      </c>
      <c r="C1029" s="302">
        <v>0.11079716865200925</v>
      </c>
      <c r="D1029" s="302">
        <v>0.2232994159107031</v>
      </c>
      <c r="E1029" s="302">
        <f>SUM(B1029:D1029)</f>
        <v>0.77910011440773197</v>
      </c>
      <c r="F1029" s="303"/>
      <c r="G1029" s="302">
        <v>0.34593460966483341</v>
      </c>
      <c r="H1029" s="302">
        <v>9.270293321136526E-2</v>
      </c>
      <c r="I1029" s="302">
        <v>0.22511757365318039</v>
      </c>
      <c r="J1029" s="302">
        <f>SUM(G1029:I1029)</f>
        <v>0.66375511652937902</v>
      </c>
      <c r="K1029" s="303"/>
      <c r="L1029" s="302">
        <v>0.45342268007563979</v>
      </c>
      <c r="M1029" s="302">
        <v>0.12390661326101886</v>
      </c>
      <c r="N1029" s="302">
        <v>0.2867007608901746</v>
      </c>
      <c r="O1029" s="302">
        <f>SUM(L1029:N1029)</f>
        <v>0.86403005422683321</v>
      </c>
    </row>
    <row r="1030" spans="1:15" s="236" customFormat="1" x14ac:dyDescent="0.2">
      <c r="A1030" s="237" t="str">
        <f>name!E$5</f>
        <v>Professional occupations</v>
      </c>
      <c r="B1030" s="302">
        <v>0.34884655146838456</v>
      </c>
      <c r="C1030" s="302">
        <v>7.4882073112775449E-2</v>
      </c>
      <c r="D1030" s="302">
        <v>5.6622399147185205E-2</v>
      </c>
      <c r="E1030" s="302">
        <f t="shared" ref="E1030:E1037" si="441">SUM(B1030:D1030)</f>
        <v>0.48035102372834521</v>
      </c>
      <c r="F1030" s="303"/>
      <c r="G1030" s="302">
        <v>0.30197018047622326</v>
      </c>
      <c r="H1030" s="302">
        <v>6.1422352969020363E-2</v>
      </c>
      <c r="I1030" s="302">
        <v>5.1872225415502141E-2</v>
      </c>
      <c r="J1030" s="302">
        <f t="shared" ref="J1030:J1032" si="442">SUM(G1030:I1030)</f>
        <v>0.41526475886074576</v>
      </c>
      <c r="K1030" s="303"/>
      <c r="L1030" s="302">
        <v>0.49114297230024556</v>
      </c>
      <c r="M1030" s="302">
        <v>9.0743246842328276E-2</v>
      </c>
      <c r="N1030" s="302">
        <v>4.7407010106636505E-2</v>
      </c>
      <c r="O1030" s="302">
        <f t="shared" ref="O1030:O1037" si="443">SUM(L1030:N1030)</f>
        <v>0.62929322924921038</v>
      </c>
    </row>
    <row r="1031" spans="1:15" s="236" customFormat="1" x14ac:dyDescent="0.2">
      <c r="A1031" s="237" t="str">
        <f>name!E$6</f>
        <v>Associate professional occupations</v>
      </c>
      <c r="B1031" s="302">
        <v>0.32347888260462232</v>
      </c>
      <c r="C1031" s="302">
        <v>0.1046634206903156</v>
      </c>
      <c r="D1031" s="302">
        <v>7.2243375937750168E-2</v>
      </c>
      <c r="E1031" s="302">
        <f t="shared" si="441"/>
        <v>0.50038567923268806</v>
      </c>
      <c r="F1031" s="303"/>
      <c r="G1031" s="302">
        <v>0.25595667435926783</v>
      </c>
      <c r="H1031" s="302">
        <v>7.138736430262882E-2</v>
      </c>
      <c r="I1031" s="302">
        <v>5.701997898435384E-2</v>
      </c>
      <c r="J1031" s="302">
        <f t="shared" si="442"/>
        <v>0.3843640176462505</v>
      </c>
      <c r="K1031" s="303"/>
      <c r="L1031" s="302">
        <v>0.31891671402204008</v>
      </c>
      <c r="M1031" s="302">
        <v>8.6803827425635555E-2</v>
      </c>
      <c r="N1031" s="302">
        <v>6.1841501808638004E-2</v>
      </c>
      <c r="O1031" s="302">
        <f t="shared" si="443"/>
        <v>0.46756204325631368</v>
      </c>
    </row>
    <row r="1032" spans="1:15" s="236" customFormat="1" x14ac:dyDescent="0.2">
      <c r="A1032" s="237" t="str">
        <f>name!E$7</f>
        <v>Administrative and secretarial occupations</v>
      </c>
      <c r="B1032" s="302">
        <v>0.68200281148521502</v>
      </c>
      <c r="C1032" s="302">
        <v>0.3574665825360912</v>
      </c>
      <c r="D1032" s="302">
        <v>8.8363782841866911E-2</v>
      </c>
      <c r="E1032" s="302">
        <f t="shared" si="441"/>
        <v>1.1278331768631731</v>
      </c>
      <c r="F1032" s="303"/>
      <c r="G1032" s="302">
        <v>0.49856249839956956</v>
      </c>
      <c r="H1032" s="302">
        <v>0.2201873231340806</v>
      </c>
      <c r="I1032" s="302">
        <v>7.4867815902616985E-2</v>
      </c>
      <c r="J1032" s="302">
        <f t="shared" si="442"/>
        <v>0.79361763743626712</v>
      </c>
      <c r="K1032" s="303"/>
      <c r="L1032" s="302">
        <v>0.54559476653954431</v>
      </c>
      <c r="M1032" s="302">
        <v>0.21169948438320507</v>
      </c>
      <c r="N1032" s="302">
        <v>9.512038878833573E-2</v>
      </c>
      <c r="O1032" s="302">
        <f t="shared" si="443"/>
        <v>0.85241463971108511</v>
      </c>
    </row>
    <row r="1033" spans="1:15" s="236" customFormat="1" x14ac:dyDescent="0.2">
      <c r="A1033" s="237" t="str">
        <f>name!E$8</f>
        <v>Skilled trades occupations</v>
      </c>
      <c r="B1033" s="302">
        <v>8.74547726667812E-2</v>
      </c>
      <c r="C1033" s="302">
        <v>8.7287108073170208E-2</v>
      </c>
      <c r="D1033" s="302">
        <v>4.0601448545955821E-2</v>
      </c>
      <c r="E1033" s="302">
        <f t="shared" si="441"/>
        <v>0.21534332928590721</v>
      </c>
      <c r="F1033" s="303"/>
      <c r="G1033" s="302">
        <v>4.7845037756687463E-2</v>
      </c>
      <c r="H1033" s="302">
        <v>2.9682309385283948E-2</v>
      </c>
      <c r="I1033" s="302">
        <v>3.630715437613536E-2</v>
      </c>
      <c r="J1033" s="302">
        <f>SUM(G1033:I1033)</f>
        <v>0.11383450151810676</v>
      </c>
      <c r="K1033" s="303"/>
      <c r="L1033" s="302">
        <v>6.3117819894070448E-2</v>
      </c>
      <c r="M1033" s="302">
        <v>4.8211211086766431E-2</v>
      </c>
      <c r="N1033" s="302">
        <v>6.873676717251441E-2</v>
      </c>
      <c r="O1033" s="302">
        <f t="shared" si="443"/>
        <v>0.18006579815335128</v>
      </c>
    </row>
    <row r="1034" spans="1:15" s="236" customFormat="1" x14ac:dyDescent="0.2">
      <c r="A1034" s="237" t="str">
        <f>name!E$9</f>
        <v>Caring, leisure and other service occupations</v>
      </c>
      <c r="B1034" s="302">
        <v>0.41858547065324531</v>
      </c>
      <c r="C1034" s="302">
        <v>0.59009801595522093</v>
      </c>
      <c r="D1034" s="302">
        <v>0.55745055144742162</v>
      </c>
      <c r="E1034" s="302">
        <f t="shared" si="441"/>
        <v>1.5661340380558877</v>
      </c>
      <c r="F1034" s="303"/>
      <c r="G1034" s="302">
        <v>0.26985981451213076</v>
      </c>
      <c r="H1034" s="302">
        <v>0.30320735077642802</v>
      </c>
      <c r="I1034" s="302">
        <v>0.48341425028003898</v>
      </c>
      <c r="J1034" s="302">
        <f t="shared" ref="J1034:J1037" si="444">SUM(G1034:I1034)</f>
        <v>1.0564814155685978</v>
      </c>
      <c r="K1034" s="303"/>
      <c r="L1034" s="302">
        <v>0.30472612213652045</v>
      </c>
      <c r="M1034" s="302">
        <v>0.33465873355249282</v>
      </c>
      <c r="N1034" s="302">
        <v>0.56580589288213323</v>
      </c>
      <c r="O1034" s="302">
        <f t="shared" si="443"/>
        <v>1.2051907485711464</v>
      </c>
    </row>
    <row r="1035" spans="1:15" s="236" customFormat="1" x14ac:dyDescent="0.2">
      <c r="A1035" s="237" t="str">
        <f>name!E$10</f>
        <v>Sales and customer service occupations</v>
      </c>
      <c r="B1035" s="302">
        <v>0.27094829407274063</v>
      </c>
      <c r="C1035" s="302">
        <v>0.11645485586343071</v>
      </c>
      <c r="D1035" s="302">
        <v>7.598724434633207E-2</v>
      </c>
      <c r="E1035" s="302">
        <f t="shared" si="441"/>
        <v>0.46339039428250339</v>
      </c>
      <c r="F1035" s="303"/>
      <c r="G1035" s="302">
        <v>0.18900190911760212</v>
      </c>
      <c r="H1035" s="302">
        <v>6.5489111735295605E-2</v>
      </c>
      <c r="I1035" s="302">
        <v>4.9209314924340927E-2</v>
      </c>
      <c r="J1035" s="302">
        <f t="shared" si="444"/>
        <v>0.30370033577723865</v>
      </c>
      <c r="K1035" s="303"/>
      <c r="L1035" s="302">
        <v>0.26221871845019729</v>
      </c>
      <c r="M1035" s="302">
        <v>9.6966258283652074E-2</v>
      </c>
      <c r="N1035" s="302">
        <v>6.4340524977633845E-2</v>
      </c>
      <c r="O1035" s="302">
        <f t="shared" si="443"/>
        <v>0.42352550171148318</v>
      </c>
    </row>
    <row r="1036" spans="1:15" s="236" customFormat="1" x14ac:dyDescent="0.2">
      <c r="A1036" s="237" t="str">
        <f>name!E$11</f>
        <v>Process, plant and machine operatives</v>
      </c>
      <c r="B1036" s="302">
        <v>0.49732431718925341</v>
      </c>
      <c r="C1036" s="302">
        <v>0.31776666043810392</v>
      </c>
      <c r="D1036" s="302">
        <v>3.9674082110729779E-2</v>
      </c>
      <c r="E1036" s="302">
        <f t="shared" si="441"/>
        <v>0.85476505973808714</v>
      </c>
      <c r="F1036" s="303"/>
      <c r="G1036" s="302">
        <v>0.28221941333144512</v>
      </c>
      <c r="H1036" s="302">
        <v>0.15496328244292648</v>
      </c>
      <c r="I1036" s="302">
        <v>4.047743095038156E-2</v>
      </c>
      <c r="J1036" s="302">
        <f t="shared" si="444"/>
        <v>0.47766012672475322</v>
      </c>
      <c r="K1036" s="303"/>
      <c r="L1036" s="302">
        <v>0.37830998355140139</v>
      </c>
      <c r="M1036" s="302">
        <v>0.22620520321382087</v>
      </c>
      <c r="N1036" s="302">
        <v>4.3218373849141692E-2</v>
      </c>
      <c r="O1036" s="302">
        <f t="shared" si="443"/>
        <v>0.64773356061436405</v>
      </c>
    </row>
    <row r="1037" spans="1:15" s="236" customFormat="1" x14ac:dyDescent="0.2">
      <c r="A1037" s="237" t="str">
        <f>name!E$12</f>
        <v>Elementary occupations</v>
      </c>
      <c r="B1037" s="302">
        <v>0.73835536998814022</v>
      </c>
      <c r="C1037" s="302">
        <v>0.43958411468863084</v>
      </c>
      <c r="D1037" s="302">
        <v>3.875769973705067E-2</v>
      </c>
      <c r="E1037" s="302">
        <f t="shared" si="441"/>
        <v>1.2166971844138217</v>
      </c>
      <c r="F1037" s="303"/>
      <c r="G1037" s="302">
        <v>0.38264986238628562</v>
      </c>
      <c r="H1037" s="302">
        <v>0.19695797205948901</v>
      </c>
      <c r="I1037" s="302">
        <v>2.2714255494559445E-2</v>
      </c>
      <c r="J1037" s="302">
        <f t="shared" si="444"/>
        <v>0.60232208994033409</v>
      </c>
      <c r="K1037" s="303"/>
      <c r="L1037" s="302">
        <v>0.36955022302099139</v>
      </c>
      <c r="M1037" s="302">
        <v>0.18780542195439101</v>
      </c>
      <c r="N1037" s="302">
        <v>2.3828779530238101E-2</v>
      </c>
      <c r="O1037" s="302">
        <f t="shared" si="443"/>
        <v>0.58118442450562047</v>
      </c>
    </row>
    <row r="1038" spans="1:15" s="236" customFormat="1" x14ac:dyDescent="0.2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2">
      <c r="A1039" s="244" t="s">
        <v>32</v>
      </c>
      <c r="B1039" s="311">
        <f>SUM(B1029:B1037)</f>
        <v>3.811999999973402</v>
      </c>
      <c r="C1039" s="311">
        <f t="shared" ref="C1039:E1039" si="445">SUM(C1029:C1037)</f>
        <v>2.199000000009748</v>
      </c>
      <c r="D1039" s="311">
        <f t="shared" si="445"/>
        <v>1.1930000000249954</v>
      </c>
      <c r="E1039" s="311">
        <f t="shared" si="445"/>
        <v>7.2040000000081452</v>
      </c>
      <c r="F1039" s="311"/>
      <c r="G1039" s="311">
        <f t="shared" ref="G1039:J1039" si="446">SUM(G1029:G1037)</f>
        <v>2.5740000000040451</v>
      </c>
      <c r="H1039" s="311">
        <f t="shared" si="446"/>
        <v>1.1960000000165181</v>
      </c>
      <c r="I1039" s="311">
        <f t="shared" si="446"/>
        <v>1.0409999999811095</v>
      </c>
      <c r="J1039" s="311">
        <f t="shared" si="446"/>
        <v>4.8110000000016733</v>
      </c>
      <c r="K1039" s="311"/>
      <c r="L1039" s="311">
        <f t="shared" ref="L1039:O1039" si="447">SUM(L1029:L1037)</f>
        <v>3.1869999999906509</v>
      </c>
      <c r="M1039" s="311">
        <f t="shared" si="447"/>
        <v>1.4070000000033109</v>
      </c>
      <c r="N1039" s="311">
        <f t="shared" si="447"/>
        <v>1.2570000000054462</v>
      </c>
      <c r="O1039" s="311">
        <f t="shared" si="447"/>
        <v>5.8509999999994076</v>
      </c>
    </row>
    <row r="1040" spans="1:15" s="236" customFormat="1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2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2">
      <c r="A1043" s="241" t="str">
        <f>name!A64</f>
        <v>Security, etc</v>
      </c>
      <c r="B1043" s="374">
        <f>$B$6</f>
        <v>2015</v>
      </c>
      <c r="C1043" s="374"/>
      <c r="D1043" s="374"/>
      <c r="E1043" s="374"/>
      <c r="F1043" s="263"/>
      <c r="G1043" s="374">
        <f>$G$6</f>
        <v>2020</v>
      </c>
      <c r="H1043" s="374"/>
      <c r="I1043" s="374"/>
      <c r="J1043" s="374"/>
      <c r="K1043" s="263"/>
      <c r="L1043" s="374">
        <f>$L$6</f>
        <v>2035</v>
      </c>
      <c r="M1043" s="374"/>
      <c r="N1043" s="374"/>
      <c r="O1043" s="374"/>
    </row>
    <row r="1044" spans="1:15" s="236" customFormat="1" x14ac:dyDescent="0.2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2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2">
      <c r="A1046" s="237" t="str">
        <f>name!E$4</f>
        <v>Managers, directors and senior officials</v>
      </c>
      <c r="B1046" s="302">
        <v>0.87514722818404744</v>
      </c>
      <c r="C1046" s="302">
        <v>7.2363378734859887E-2</v>
      </c>
      <c r="D1046" s="302">
        <v>0.24235907115799996</v>
      </c>
      <c r="E1046" s="302">
        <f>SUM(B1046:D1046)</f>
        <v>1.1898696780769074</v>
      </c>
      <c r="F1046" s="303"/>
      <c r="G1046" s="302">
        <v>1.0257127667455812</v>
      </c>
      <c r="H1046" s="302">
        <v>0.11651256250558047</v>
      </c>
      <c r="I1046" s="302">
        <v>0.38485034683667263</v>
      </c>
      <c r="J1046" s="302">
        <f>SUM(G1046:I1046)</f>
        <v>1.5270756760878343</v>
      </c>
      <c r="K1046" s="303"/>
      <c r="L1046" s="302">
        <v>1.302821422123744</v>
      </c>
      <c r="M1046" s="302">
        <v>0.12846394967819197</v>
      </c>
      <c r="N1046" s="302">
        <v>0.50701129076431195</v>
      </c>
      <c r="O1046" s="302">
        <f>SUM(L1046:N1046)</f>
        <v>1.9382966625662479</v>
      </c>
    </row>
    <row r="1047" spans="1:15" s="236" customFormat="1" x14ac:dyDescent="0.2">
      <c r="A1047" s="237" t="str">
        <f>name!E$5</f>
        <v>Professional occupations</v>
      </c>
      <c r="B1047" s="302">
        <v>0.93142138020017617</v>
      </c>
      <c r="C1047" s="302">
        <v>8.3295911560204702E-2</v>
      </c>
      <c r="D1047" s="302">
        <v>0.1858248796071777</v>
      </c>
      <c r="E1047" s="302">
        <f t="shared" ref="E1047:E1054" si="448">SUM(B1047:D1047)</f>
        <v>1.2005421713675586</v>
      </c>
      <c r="F1047" s="303"/>
      <c r="G1047" s="302">
        <v>1.2402179107939784</v>
      </c>
      <c r="H1047" s="302">
        <v>0.15274634556860714</v>
      </c>
      <c r="I1047" s="302">
        <v>0.27916473118547347</v>
      </c>
      <c r="J1047" s="302">
        <f t="shared" ref="J1047:J1049" si="449">SUM(G1047:I1047)</f>
        <v>1.6721289875480589</v>
      </c>
      <c r="K1047" s="303"/>
      <c r="L1047" s="302">
        <v>1.7646779532209989</v>
      </c>
      <c r="M1047" s="302">
        <v>0.22591505977303916</v>
      </c>
      <c r="N1047" s="302">
        <v>0.26231031107973785</v>
      </c>
      <c r="O1047" s="302">
        <f t="shared" ref="O1047:O1054" si="450">SUM(L1047:N1047)</f>
        <v>2.2529033240737757</v>
      </c>
    </row>
    <row r="1048" spans="1:15" s="236" customFormat="1" x14ac:dyDescent="0.2">
      <c r="A1048" s="237" t="str">
        <f>name!E$6</f>
        <v>Associate professional occupations</v>
      </c>
      <c r="B1048" s="302">
        <v>1.2313369721215355</v>
      </c>
      <c r="C1048" s="302">
        <v>0.11861822540070194</v>
      </c>
      <c r="D1048" s="302">
        <v>0.47946475683181483</v>
      </c>
      <c r="E1048" s="302">
        <f t="shared" si="448"/>
        <v>1.8294199543540524</v>
      </c>
      <c r="F1048" s="303"/>
      <c r="G1048" s="302">
        <v>1.4731323682136186</v>
      </c>
      <c r="H1048" s="302">
        <v>0.17472549751640126</v>
      </c>
      <c r="I1048" s="302">
        <v>0.72716291879511508</v>
      </c>
      <c r="J1048" s="302">
        <f t="shared" si="449"/>
        <v>2.3750207845251348</v>
      </c>
      <c r="K1048" s="303"/>
      <c r="L1048" s="302">
        <v>1.6613287938777204</v>
      </c>
      <c r="M1048" s="302">
        <v>0.22499446765757644</v>
      </c>
      <c r="N1048" s="302">
        <v>0.79178723912075677</v>
      </c>
      <c r="O1048" s="302">
        <f t="shared" si="450"/>
        <v>2.6781105006560537</v>
      </c>
    </row>
    <row r="1049" spans="1:15" s="236" customFormat="1" x14ac:dyDescent="0.2">
      <c r="A1049" s="237" t="str">
        <f>name!E$7</f>
        <v>Administrative and secretarial occupations</v>
      </c>
      <c r="B1049" s="302">
        <v>0.65673124902434155</v>
      </c>
      <c r="C1049" s="302">
        <v>0.23280277044324754</v>
      </c>
      <c r="D1049" s="302">
        <v>8.5653775984903952E-2</v>
      </c>
      <c r="E1049" s="302">
        <f t="shared" si="448"/>
        <v>0.97518779545249312</v>
      </c>
      <c r="F1049" s="303"/>
      <c r="G1049" s="302">
        <v>0.72096954542530323</v>
      </c>
      <c r="H1049" s="302">
        <v>0.30092712735327354</v>
      </c>
      <c r="I1049" s="302">
        <v>0.11914248670544045</v>
      </c>
      <c r="J1049" s="302">
        <f t="shared" si="449"/>
        <v>1.1410391594840172</v>
      </c>
      <c r="K1049" s="303"/>
      <c r="L1049" s="302">
        <v>0.68574034867212197</v>
      </c>
      <c r="M1049" s="302">
        <v>0.32542601812407584</v>
      </c>
      <c r="N1049" s="302">
        <v>0.14598666537992452</v>
      </c>
      <c r="O1049" s="302">
        <f t="shared" si="450"/>
        <v>1.1571530321761223</v>
      </c>
    </row>
    <row r="1050" spans="1:15" s="236" customFormat="1" x14ac:dyDescent="0.2">
      <c r="A1050" s="237" t="str">
        <f>name!E$8</f>
        <v>Skilled trades occupations</v>
      </c>
      <c r="B1050" s="302">
        <v>0.35424369293436764</v>
      </c>
      <c r="C1050" s="302">
        <v>5.7097683147791213E-2</v>
      </c>
      <c r="D1050" s="302">
        <v>0.22870169781522207</v>
      </c>
      <c r="E1050" s="302">
        <f t="shared" si="448"/>
        <v>0.64004307389738091</v>
      </c>
      <c r="F1050" s="303"/>
      <c r="G1050" s="302">
        <v>0.28751727807291544</v>
      </c>
      <c r="H1050" s="302">
        <v>4.0390203061707514E-2</v>
      </c>
      <c r="I1050" s="302">
        <v>0.26117869901550184</v>
      </c>
      <c r="J1050" s="302">
        <f>SUM(G1050:I1050)</f>
        <v>0.58908618015012482</v>
      </c>
      <c r="K1050" s="303"/>
      <c r="L1050" s="302">
        <v>0.31467583087079537</v>
      </c>
      <c r="M1050" s="302">
        <v>5.2877428560825404E-2</v>
      </c>
      <c r="N1050" s="302">
        <v>0.24236094434201624</v>
      </c>
      <c r="O1050" s="302">
        <f t="shared" si="450"/>
        <v>0.60991420377363703</v>
      </c>
    </row>
    <row r="1051" spans="1:15" s="236" customFormat="1" x14ac:dyDescent="0.2">
      <c r="A1051" s="237" t="str">
        <f>name!E$9</f>
        <v>Caring, leisure and other service occupations</v>
      </c>
      <c r="B1051" s="302">
        <v>0.46698585747669807</v>
      </c>
      <c r="C1051" s="302">
        <v>0.21031962977306898</v>
      </c>
      <c r="D1051" s="302">
        <v>0.14107704817884706</v>
      </c>
      <c r="E1051" s="302">
        <f t="shared" si="448"/>
        <v>0.81838253542861406</v>
      </c>
      <c r="F1051" s="303"/>
      <c r="G1051" s="302">
        <v>0.51759920370473123</v>
      </c>
      <c r="H1051" s="302">
        <v>0.27021942663557963</v>
      </c>
      <c r="I1051" s="302">
        <v>0.25175325056065218</v>
      </c>
      <c r="J1051" s="302">
        <f t="shared" ref="J1051:J1054" si="451">SUM(G1051:I1051)</f>
        <v>1.0395718809009631</v>
      </c>
      <c r="K1051" s="303"/>
      <c r="L1051" s="302">
        <v>0.69467364638996032</v>
      </c>
      <c r="M1051" s="302">
        <v>0.35061289266592527</v>
      </c>
      <c r="N1051" s="302">
        <v>0.32722671332938291</v>
      </c>
      <c r="O1051" s="302">
        <f t="shared" si="450"/>
        <v>1.3725132523852686</v>
      </c>
    </row>
    <row r="1052" spans="1:15" s="236" customFormat="1" x14ac:dyDescent="0.2">
      <c r="A1052" s="237" t="str">
        <f>name!E$10</f>
        <v>Sales and customer service occupations</v>
      </c>
      <c r="B1052" s="302">
        <v>0.38997435942392839</v>
      </c>
      <c r="C1052" s="302">
        <v>0.20706765860549509</v>
      </c>
      <c r="D1052" s="302">
        <v>7.2320819012266904E-2</v>
      </c>
      <c r="E1052" s="302">
        <f t="shared" si="448"/>
        <v>0.66936283704169042</v>
      </c>
      <c r="F1052" s="303"/>
      <c r="G1052" s="302">
        <v>0.41308231043430316</v>
      </c>
      <c r="H1052" s="302">
        <v>0.22884937434882055</v>
      </c>
      <c r="I1052" s="302">
        <v>9.1401561969864237E-2</v>
      </c>
      <c r="J1052" s="302">
        <f t="shared" si="451"/>
        <v>0.73333324675298794</v>
      </c>
      <c r="K1052" s="303"/>
      <c r="L1052" s="302">
        <v>0.53453600451097238</v>
      </c>
      <c r="M1052" s="302">
        <v>0.35355267756002334</v>
      </c>
      <c r="N1052" s="302">
        <v>9.3131900551688157E-2</v>
      </c>
      <c r="O1052" s="302">
        <f t="shared" si="450"/>
        <v>0.98122058262268386</v>
      </c>
    </row>
    <row r="1053" spans="1:15" s="236" customFormat="1" x14ac:dyDescent="0.2">
      <c r="A1053" s="237" t="str">
        <f>name!E$11</f>
        <v>Process, plant and machine operatives</v>
      </c>
      <c r="B1053" s="302">
        <v>0.54056698109760914</v>
      </c>
      <c r="C1053" s="302">
        <v>0.14550622419911902</v>
      </c>
      <c r="D1053" s="302">
        <v>3.7852296996033673E-2</v>
      </c>
      <c r="E1053" s="302">
        <f t="shared" si="448"/>
        <v>0.72392550229276187</v>
      </c>
      <c r="F1053" s="303"/>
      <c r="G1053" s="302">
        <v>0.45921246315829889</v>
      </c>
      <c r="H1053" s="302">
        <v>0.16567880921176503</v>
      </c>
      <c r="I1053" s="302">
        <v>6.0284407072087647E-2</v>
      </c>
      <c r="J1053" s="302">
        <f t="shared" si="451"/>
        <v>0.68517567944215152</v>
      </c>
      <c r="K1053" s="303"/>
      <c r="L1053" s="302">
        <v>0.55997089297185509</v>
      </c>
      <c r="M1053" s="302">
        <v>0.22824109970965514</v>
      </c>
      <c r="N1053" s="302">
        <v>7.6752450679337808E-2</v>
      </c>
      <c r="O1053" s="302">
        <f t="shared" si="450"/>
        <v>0.86496444336084799</v>
      </c>
    </row>
    <row r="1054" spans="1:15" s="236" customFormat="1" x14ac:dyDescent="0.2">
      <c r="A1054" s="237" t="str">
        <f>name!E$12</f>
        <v>Elementary occupations</v>
      </c>
      <c r="B1054" s="302">
        <v>3.0525922795261278</v>
      </c>
      <c r="C1054" s="302">
        <v>1.6819285181611856</v>
      </c>
      <c r="D1054" s="302">
        <v>0.53674565444197286</v>
      </c>
      <c r="E1054" s="302">
        <f t="shared" si="448"/>
        <v>5.2712664521292858</v>
      </c>
      <c r="F1054" s="303"/>
      <c r="G1054" s="302">
        <v>2.8025561534966679</v>
      </c>
      <c r="H1054" s="302">
        <v>1.5549506538253937</v>
      </c>
      <c r="I1054" s="302">
        <v>0.69506159787198674</v>
      </c>
      <c r="J1054" s="302">
        <f t="shared" si="451"/>
        <v>5.052568405194048</v>
      </c>
      <c r="K1054" s="303"/>
      <c r="L1054" s="302">
        <v>3.4805751073945821</v>
      </c>
      <c r="M1054" s="302">
        <v>1.6839164063095695</v>
      </c>
      <c r="N1054" s="302">
        <v>1.004432484800692</v>
      </c>
      <c r="O1054" s="302">
        <f t="shared" si="450"/>
        <v>6.1689239985048427</v>
      </c>
    </row>
    <row r="1055" spans="1:15" s="236" customFormat="1" x14ac:dyDescent="0.2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2">
      <c r="A1056" s="244" t="s">
        <v>32</v>
      </c>
      <c r="B1056" s="311">
        <f>SUM(B1046:B1054)</f>
        <v>8.4989999999888326</v>
      </c>
      <c r="C1056" s="311">
        <f t="shared" ref="C1056:E1056" si="452">SUM(C1046:C1054)</f>
        <v>2.8090000000256738</v>
      </c>
      <c r="D1056" s="311">
        <f t="shared" si="452"/>
        <v>2.0100000000262392</v>
      </c>
      <c r="E1056" s="311">
        <f t="shared" si="452"/>
        <v>13.318000000040746</v>
      </c>
      <c r="F1056" s="311"/>
      <c r="G1056" s="311">
        <f t="shared" ref="G1056:J1056" si="453">SUM(G1046:G1054)</f>
        <v>8.9400000000453979</v>
      </c>
      <c r="H1056" s="311">
        <f t="shared" si="453"/>
        <v>3.0050000000271289</v>
      </c>
      <c r="I1056" s="311">
        <f t="shared" si="453"/>
        <v>2.8700000000127943</v>
      </c>
      <c r="J1056" s="311">
        <f t="shared" si="453"/>
        <v>14.815000000085321</v>
      </c>
      <c r="K1056" s="311"/>
      <c r="L1056" s="311">
        <f t="shared" ref="L1056:O1056" si="454">SUM(L1046:L1054)</f>
        <v>10.999000000032751</v>
      </c>
      <c r="M1056" s="311">
        <f t="shared" si="454"/>
        <v>3.5740000000388821</v>
      </c>
      <c r="N1056" s="311">
        <f t="shared" si="454"/>
        <v>3.451000000047848</v>
      </c>
      <c r="O1056" s="311">
        <f t="shared" si="454"/>
        <v>18.024000000119479</v>
      </c>
    </row>
    <row r="1057" spans="1:15" s="236" customFormat="1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2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2">
      <c r="A1060" s="241" t="str">
        <f>name!A65</f>
        <v>Services to buildings</v>
      </c>
      <c r="B1060" s="374">
        <f>$B$6</f>
        <v>2015</v>
      </c>
      <c r="C1060" s="374"/>
      <c r="D1060" s="374"/>
      <c r="E1060" s="374"/>
      <c r="F1060" s="263"/>
      <c r="G1060" s="374">
        <f>$G$6</f>
        <v>2020</v>
      </c>
      <c r="H1060" s="374"/>
      <c r="I1060" s="374"/>
      <c r="J1060" s="374"/>
      <c r="K1060" s="263"/>
      <c r="L1060" s="374">
        <f>$L$6</f>
        <v>2035</v>
      </c>
      <c r="M1060" s="374"/>
      <c r="N1060" s="374"/>
      <c r="O1060" s="374"/>
    </row>
    <row r="1061" spans="1:15" s="236" customFormat="1" x14ac:dyDescent="0.2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2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2">
      <c r="A1063" s="237" t="str">
        <f>name!E$4</f>
        <v>Managers, directors and senior officials</v>
      </c>
      <c r="B1063" s="302">
        <v>2.3506957045801564</v>
      </c>
      <c r="C1063" s="302">
        <v>0.99049542836088911</v>
      </c>
      <c r="D1063" s="302">
        <v>1.3120131080287736</v>
      </c>
      <c r="E1063" s="302">
        <f>SUM(B1063:D1063)</f>
        <v>4.6532042409698189</v>
      </c>
      <c r="F1063" s="303"/>
      <c r="G1063" s="302">
        <v>2.8032298388686714</v>
      </c>
      <c r="H1063" s="302">
        <v>1.3752242828496306</v>
      </c>
      <c r="I1063" s="302">
        <v>1.9225998597149918</v>
      </c>
      <c r="J1063" s="302">
        <f>SUM(G1063:I1063)</f>
        <v>6.1010539814332931</v>
      </c>
      <c r="K1063" s="303"/>
      <c r="L1063" s="302">
        <v>3.8443647058895412</v>
      </c>
      <c r="M1063" s="302">
        <v>1.8417508786357599</v>
      </c>
      <c r="N1063" s="302">
        <v>2.1355234897335169</v>
      </c>
      <c r="O1063" s="302">
        <f>SUM(L1063:N1063)</f>
        <v>7.821639074258818</v>
      </c>
    </row>
    <row r="1064" spans="1:15" s="236" customFormat="1" x14ac:dyDescent="0.2">
      <c r="A1064" s="237" t="str">
        <f>name!E$5</f>
        <v>Professional occupations</v>
      </c>
      <c r="B1064" s="302">
        <v>2.7996952858391779</v>
      </c>
      <c r="C1064" s="302">
        <v>2.0735076442898559</v>
      </c>
      <c r="D1064" s="302">
        <v>0.73321573616200364</v>
      </c>
      <c r="E1064" s="302">
        <f t="shared" ref="E1064:E1071" si="455">SUM(B1064:D1064)</f>
        <v>5.606418666291038</v>
      </c>
      <c r="F1064" s="303"/>
      <c r="G1064" s="302">
        <v>3.809540358112403</v>
      </c>
      <c r="H1064" s="302">
        <v>2.5303283142065216</v>
      </c>
      <c r="I1064" s="302">
        <v>1.022072647846628</v>
      </c>
      <c r="J1064" s="302">
        <f t="shared" ref="J1064:J1066" si="456">SUM(G1064:I1064)</f>
        <v>7.3619413201655526</v>
      </c>
      <c r="K1064" s="303"/>
      <c r="L1064" s="302">
        <v>5.4697636230850284</v>
      </c>
      <c r="M1064" s="302">
        <v>3.399435923089082</v>
      </c>
      <c r="N1064" s="302">
        <v>0.91392530706237862</v>
      </c>
      <c r="O1064" s="302">
        <f t="shared" ref="O1064:O1071" si="457">SUM(L1064:N1064)</f>
        <v>9.7831248532364885</v>
      </c>
    </row>
    <row r="1065" spans="1:15" s="236" customFormat="1" x14ac:dyDescent="0.2">
      <c r="A1065" s="237" t="str">
        <f>name!E$6</f>
        <v>Associate professional occupations</v>
      </c>
      <c r="B1065" s="302">
        <v>2.8526798578606125</v>
      </c>
      <c r="C1065" s="302">
        <v>2.163292157118049</v>
      </c>
      <c r="D1065" s="302">
        <v>1.7075687658919785</v>
      </c>
      <c r="E1065" s="302">
        <f t="shared" si="455"/>
        <v>6.72354078087064</v>
      </c>
      <c r="F1065" s="303"/>
      <c r="G1065" s="302">
        <v>3.5242559377463789</v>
      </c>
      <c r="H1065" s="302">
        <v>2.4134460104562523</v>
      </c>
      <c r="I1065" s="302">
        <v>2.3058812481454298</v>
      </c>
      <c r="J1065" s="302">
        <f t="shared" si="456"/>
        <v>8.2435831963480624</v>
      </c>
      <c r="K1065" s="303"/>
      <c r="L1065" s="302">
        <v>4.0483299588069803</v>
      </c>
      <c r="M1065" s="302">
        <v>2.9993712367565282</v>
      </c>
      <c r="N1065" s="302">
        <v>2.6451846942078374</v>
      </c>
      <c r="O1065" s="302">
        <f t="shared" si="457"/>
        <v>9.6928858897713468</v>
      </c>
    </row>
    <row r="1066" spans="1:15" s="236" customFormat="1" x14ac:dyDescent="0.2">
      <c r="A1066" s="237" t="str">
        <f>name!E$7</f>
        <v>Administrative and secretarial occupations</v>
      </c>
      <c r="B1066" s="302">
        <v>2.5037400612103831</v>
      </c>
      <c r="C1066" s="302">
        <v>6.0073743469935028</v>
      </c>
      <c r="D1066" s="302">
        <v>0.66348824416927221</v>
      </c>
      <c r="E1066" s="302">
        <f t="shared" si="455"/>
        <v>9.1746026523731583</v>
      </c>
      <c r="F1066" s="303"/>
      <c r="G1066" s="302">
        <v>2.6372826509281118</v>
      </c>
      <c r="H1066" s="302">
        <v>5.9055609269071612</v>
      </c>
      <c r="I1066" s="302">
        <v>0.83758237282563563</v>
      </c>
      <c r="J1066" s="302">
        <f t="shared" si="456"/>
        <v>9.3804259506609089</v>
      </c>
      <c r="K1066" s="303"/>
      <c r="L1066" s="302">
        <v>2.2758312398512741</v>
      </c>
      <c r="M1066" s="302">
        <v>7.5341974814229822</v>
      </c>
      <c r="N1066" s="302">
        <v>0.93384096431718133</v>
      </c>
      <c r="O1066" s="302">
        <f t="shared" si="457"/>
        <v>10.743869685591438</v>
      </c>
    </row>
    <row r="1067" spans="1:15" s="236" customFormat="1" x14ac:dyDescent="0.2">
      <c r="A1067" s="237" t="str">
        <f>name!E$8</f>
        <v>Skilled trades occupations</v>
      </c>
      <c r="B1067" s="302">
        <v>0.78365311707756258</v>
      </c>
      <c r="C1067" s="302">
        <v>0.39029817245601728</v>
      </c>
      <c r="D1067" s="302">
        <v>0.90603081663059093</v>
      </c>
      <c r="E1067" s="302">
        <f t="shared" si="455"/>
        <v>2.079982106164171</v>
      </c>
      <c r="F1067" s="303"/>
      <c r="G1067" s="302">
        <v>0.67638260948053974</v>
      </c>
      <c r="H1067" s="302">
        <v>0.29297069462161546</v>
      </c>
      <c r="I1067" s="302">
        <v>1.0339481654149232</v>
      </c>
      <c r="J1067" s="302">
        <f>SUM(G1067:I1067)</f>
        <v>2.0033014695170781</v>
      </c>
      <c r="K1067" s="303"/>
      <c r="L1067" s="302">
        <v>0.87698158529779313</v>
      </c>
      <c r="M1067" s="302">
        <v>0.49559652486181743</v>
      </c>
      <c r="N1067" s="302">
        <v>1.3100451524177483</v>
      </c>
      <c r="O1067" s="302">
        <f t="shared" si="457"/>
        <v>2.6826232625773589</v>
      </c>
    </row>
    <row r="1068" spans="1:15" s="236" customFormat="1" x14ac:dyDescent="0.2">
      <c r="A1068" s="237" t="str">
        <f>name!E$9</f>
        <v>Caring, leisure and other service occupations</v>
      </c>
      <c r="B1068" s="302">
        <v>1.7713229721543498</v>
      </c>
      <c r="C1068" s="302">
        <v>3.5894520361835212</v>
      </c>
      <c r="D1068" s="302">
        <v>0.64913224323640517</v>
      </c>
      <c r="E1068" s="302">
        <f t="shared" si="455"/>
        <v>6.0099072515742762</v>
      </c>
      <c r="F1068" s="303"/>
      <c r="G1068" s="302">
        <v>1.9512003081396598</v>
      </c>
      <c r="H1068" s="302">
        <v>3.2384937057656269</v>
      </c>
      <c r="I1068" s="302">
        <v>1.0562856028329228</v>
      </c>
      <c r="J1068" s="302">
        <f t="shared" ref="J1068:J1071" si="458">SUM(G1068:I1068)</f>
        <v>6.24597961673821</v>
      </c>
      <c r="K1068" s="303"/>
      <c r="L1068" s="302">
        <v>2.6541646090734563</v>
      </c>
      <c r="M1068" s="302">
        <v>3.6619068783699977</v>
      </c>
      <c r="N1068" s="302">
        <v>1.3353057679173919</v>
      </c>
      <c r="O1068" s="302">
        <f t="shared" si="457"/>
        <v>7.6513772553608455</v>
      </c>
    </row>
    <row r="1069" spans="1:15" s="236" customFormat="1" x14ac:dyDescent="0.2">
      <c r="A1069" s="237" t="str">
        <f>name!E$10</f>
        <v>Sales and customer service occupations</v>
      </c>
      <c r="B1069" s="302">
        <v>1.2325651085598199</v>
      </c>
      <c r="C1069" s="302">
        <v>2.3223704008788735</v>
      </c>
      <c r="D1069" s="302">
        <v>0.39633678866505562</v>
      </c>
      <c r="E1069" s="302">
        <f t="shared" si="455"/>
        <v>3.9512722981037491</v>
      </c>
      <c r="F1069" s="303"/>
      <c r="G1069" s="302">
        <v>1.2580115895224038</v>
      </c>
      <c r="H1069" s="302">
        <v>2.2628353812070929</v>
      </c>
      <c r="I1069" s="302">
        <v>0.40162295843978285</v>
      </c>
      <c r="J1069" s="302">
        <f t="shared" si="458"/>
        <v>3.9224699291692793</v>
      </c>
      <c r="K1069" s="303"/>
      <c r="L1069" s="302">
        <v>1.5100931501392834</v>
      </c>
      <c r="M1069" s="302">
        <v>3.8054582884078445</v>
      </c>
      <c r="N1069" s="302">
        <v>0.35650867907932149</v>
      </c>
      <c r="O1069" s="302">
        <f t="shared" si="457"/>
        <v>5.6720601176264491</v>
      </c>
    </row>
    <row r="1070" spans="1:15" s="236" customFormat="1" x14ac:dyDescent="0.2">
      <c r="A1070" s="237" t="str">
        <f>name!E$11</f>
        <v>Process, plant and machine operatives</v>
      </c>
      <c r="B1070" s="302">
        <v>0.88386178614257482</v>
      </c>
      <c r="C1070" s="302">
        <v>0.58888376381686047</v>
      </c>
      <c r="D1070" s="302">
        <v>0.10363513101764862</v>
      </c>
      <c r="E1070" s="302">
        <f t="shared" si="455"/>
        <v>1.5763806809770839</v>
      </c>
      <c r="F1070" s="303"/>
      <c r="G1070" s="302">
        <v>0.7304372149799625</v>
      </c>
      <c r="H1070" s="302">
        <v>0.47727639176579045</v>
      </c>
      <c r="I1070" s="302">
        <v>0.15461067709523679</v>
      </c>
      <c r="J1070" s="302">
        <f t="shared" si="458"/>
        <v>1.3623242838409899</v>
      </c>
      <c r="K1070" s="303"/>
      <c r="L1070" s="302">
        <v>0.94628930901771469</v>
      </c>
      <c r="M1070" s="302">
        <v>0.85444124300126945</v>
      </c>
      <c r="N1070" s="302">
        <v>0.2214320386921925</v>
      </c>
      <c r="O1070" s="302">
        <f t="shared" si="457"/>
        <v>2.0221625907111767</v>
      </c>
    </row>
    <row r="1071" spans="1:15" s="236" customFormat="1" x14ac:dyDescent="0.2">
      <c r="A1071" s="237" t="str">
        <f>name!E$12</f>
        <v>Elementary occupations</v>
      </c>
      <c r="B1071" s="302">
        <v>4.7247861064796854</v>
      </c>
      <c r="C1071" s="302">
        <v>9.7813260498597039</v>
      </c>
      <c r="D1071" s="302">
        <v>2.0455791663046141</v>
      </c>
      <c r="E1071" s="302">
        <f t="shared" si="455"/>
        <v>16.551691322644004</v>
      </c>
      <c r="F1071" s="303"/>
      <c r="G1071" s="302">
        <v>4.2196594922771746</v>
      </c>
      <c r="H1071" s="302">
        <v>7.0208642923551015</v>
      </c>
      <c r="I1071" s="302">
        <v>2.1933964676120801</v>
      </c>
      <c r="J1071" s="302">
        <f t="shared" si="458"/>
        <v>13.433920252244357</v>
      </c>
      <c r="K1071" s="303"/>
      <c r="L1071" s="302">
        <v>5.2691818187480859</v>
      </c>
      <c r="M1071" s="302">
        <v>5.065841545540934</v>
      </c>
      <c r="N1071" s="302">
        <v>3.3152339066590204</v>
      </c>
      <c r="O1071" s="302">
        <f t="shared" si="457"/>
        <v>13.650257270948041</v>
      </c>
    </row>
    <row r="1072" spans="1:15" s="236" customFormat="1" x14ac:dyDescent="0.2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2">
      <c r="A1073" s="244" t="s">
        <v>32</v>
      </c>
      <c r="B1073" s="311">
        <f>SUM(B1063:B1071)</f>
        <v>19.902999999904324</v>
      </c>
      <c r="C1073" s="311">
        <f t="shared" ref="C1073:E1073" si="459">SUM(C1063:C1071)</f>
        <v>27.906999999957272</v>
      </c>
      <c r="D1073" s="311">
        <f t="shared" si="459"/>
        <v>8.5170000001063428</v>
      </c>
      <c r="E1073" s="311">
        <f t="shared" si="459"/>
        <v>56.326999999967938</v>
      </c>
      <c r="F1073" s="311"/>
      <c r="G1073" s="311">
        <f t="shared" ref="G1073:J1073" si="460">SUM(G1063:G1071)</f>
        <v>21.610000000055301</v>
      </c>
      <c r="H1073" s="311">
        <f t="shared" si="460"/>
        <v>25.517000000134793</v>
      </c>
      <c r="I1073" s="311">
        <f t="shared" si="460"/>
        <v>10.92799999992763</v>
      </c>
      <c r="J1073" s="311">
        <f t="shared" si="460"/>
        <v>58.05500000011773</v>
      </c>
      <c r="K1073" s="311"/>
      <c r="L1073" s="311">
        <f t="shared" ref="L1073:O1073" si="461">SUM(L1063:L1071)</f>
        <v>26.89499999990916</v>
      </c>
      <c r="M1073" s="311">
        <f t="shared" si="461"/>
        <v>29.658000000086215</v>
      </c>
      <c r="N1073" s="311">
        <f t="shared" si="461"/>
        <v>13.167000000086592</v>
      </c>
      <c r="O1073" s="311">
        <f t="shared" si="461"/>
        <v>69.720000000081967</v>
      </c>
    </row>
    <row r="1074" spans="1:15" s="236" customFormat="1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2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2">
      <c r="A1077" s="241" t="str">
        <f>name!A66</f>
        <v>Office administrative</v>
      </c>
      <c r="B1077" s="374">
        <f>$B$6</f>
        <v>2015</v>
      </c>
      <c r="C1077" s="374"/>
      <c r="D1077" s="374"/>
      <c r="E1077" s="374"/>
      <c r="F1077" s="263"/>
      <c r="G1077" s="374">
        <f>$G$6</f>
        <v>2020</v>
      </c>
      <c r="H1077" s="374"/>
      <c r="I1077" s="374"/>
      <c r="J1077" s="374"/>
      <c r="K1077" s="263"/>
      <c r="L1077" s="374">
        <f>$L$6</f>
        <v>2035</v>
      </c>
      <c r="M1077" s="374"/>
      <c r="N1077" s="374"/>
      <c r="O1077" s="374"/>
    </row>
    <row r="1078" spans="1:15" s="236" customFormat="1" x14ac:dyDescent="0.2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2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2">
      <c r="A1080" s="237" t="str">
        <f>name!E$4</f>
        <v>Managers, directors and senior officials</v>
      </c>
      <c r="B1080" s="302">
        <v>2.9477099490242331</v>
      </c>
      <c r="C1080" s="302">
        <v>0.27033668612797179</v>
      </c>
      <c r="D1080" s="302">
        <v>0.68051264500725783</v>
      </c>
      <c r="E1080" s="302">
        <f>SUM(B1080:D1080)</f>
        <v>3.8985592801594624</v>
      </c>
      <c r="F1080" s="303"/>
      <c r="G1080" s="302">
        <v>2.6633628326626386</v>
      </c>
      <c r="H1080" s="302">
        <v>0.26996420513439739</v>
      </c>
      <c r="I1080" s="302">
        <v>0.86307959893779007</v>
      </c>
      <c r="J1080" s="302">
        <f>SUM(G1080:I1080)</f>
        <v>3.7964066367348259</v>
      </c>
      <c r="K1080" s="303"/>
      <c r="L1080" s="302">
        <v>3.3719352022230087</v>
      </c>
      <c r="M1080" s="302">
        <v>0.30642241962698347</v>
      </c>
      <c r="N1080" s="302">
        <v>1.0435924695095347</v>
      </c>
      <c r="O1080" s="302">
        <f>SUM(L1080:N1080)</f>
        <v>4.7219500913595267</v>
      </c>
    </row>
    <row r="1081" spans="1:15" s="236" customFormat="1" x14ac:dyDescent="0.2">
      <c r="A1081" s="237" t="str">
        <f>name!E$5</f>
        <v>Professional occupations</v>
      </c>
      <c r="B1081" s="302">
        <v>3.1189657079489699</v>
      </c>
      <c r="C1081" s="302">
        <v>0.42114295983607919</v>
      </c>
      <c r="D1081" s="302">
        <v>0.62324576111134533</v>
      </c>
      <c r="E1081" s="302">
        <f t="shared" ref="E1081:E1088" si="462">SUM(B1081:D1081)</f>
        <v>4.163354428896394</v>
      </c>
      <c r="F1081" s="303"/>
      <c r="G1081" s="302">
        <v>3.197089766648137</v>
      </c>
      <c r="H1081" s="302">
        <v>0.44025795720135763</v>
      </c>
      <c r="I1081" s="302">
        <v>0.71901929168039802</v>
      </c>
      <c r="J1081" s="302">
        <f t="shared" ref="J1081:J1083" si="463">SUM(G1081:I1081)</f>
        <v>4.3563670155298926</v>
      </c>
      <c r="K1081" s="303"/>
      <c r="L1081" s="302">
        <v>4.5499852121614683</v>
      </c>
      <c r="M1081" s="302">
        <v>0.6364554599273583</v>
      </c>
      <c r="N1081" s="302">
        <v>0.68703662846066615</v>
      </c>
      <c r="O1081" s="302">
        <f t="shared" ref="O1081:O1088" si="464">SUM(L1081:N1081)</f>
        <v>5.8734773005494922</v>
      </c>
    </row>
    <row r="1082" spans="1:15" s="236" customFormat="1" x14ac:dyDescent="0.2">
      <c r="A1082" s="237" t="str">
        <f>name!E$6</f>
        <v>Associate professional occupations</v>
      </c>
      <c r="B1082" s="302">
        <v>4.1532514488616572</v>
      </c>
      <c r="C1082" s="302">
        <v>0.54190712826049503</v>
      </c>
      <c r="D1082" s="302">
        <v>1.8237083361261113</v>
      </c>
      <c r="E1082" s="302">
        <f t="shared" si="462"/>
        <v>6.5188669132482637</v>
      </c>
      <c r="F1082" s="303"/>
      <c r="G1082" s="302">
        <v>3.8251312258283905</v>
      </c>
      <c r="H1082" s="302">
        <v>0.4814971312140035</v>
      </c>
      <c r="I1082" s="302">
        <v>2.0957144167087338</v>
      </c>
      <c r="J1082" s="302">
        <f t="shared" si="463"/>
        <v>6.402342773751128</v>
      </c>
      <c r="K1082" s="303"/>
      <c r="L1082" s="302">
        <v>4.3079773410294928</v>
      </c>
      <c r="M1082" s="302">
        <v>0.63078928718950322</v>
      </c>
      <c r="N1082" s="302">
        <v>2.333867859533393</v>
      </c>
      <c r="O1082" s="302">
        <f t="shared" si="464"/>
        <v>7.2726344877523896</v>
      </c>
    </row>
    <row r="1083" spans="1:15" s="236" customFormat="1" x14ac:dyDescent="0.2">
      <c r="A1083" s="237" t="str">
        <f>name!E$7</f>
        <v>Administrative and secretarial occupations</v>
      </c>
      <c r="B1083" s="302">
        <v>2.0984345909044242</v>
      </c>
      <c r="C1083" s="302">
        <v>1.1514760643638486</v>
      </c>
      <c r="D1083" s="302">
        <v>0.46017929147657238</v>
      </c>
      <c r="E1083" s="302">
        <f t="shared" si="462"/>
        <v>3.7100899467448452</v>
      </c>
      <c r="F1083" s="303"/>
      <c r="G1083" s="302">
        <v>1.7853322636495674</v>
      </c>
      <c r="H1083" s="302">
        <v>0.89303494017514429</v>
      </c>
      <c r="I1083" s="302">
        <v>0.50831163191588302</v>
      </c>
      <c r="J1083" s="302">
        <f t="shared" si="463"/>
        <v>3.1866788357405946</v>
      </c>
      <c r="K1083" s="303"/>
      <c r="L1083" s="302">
        <v>1.7204565437838542</v>
      </c>
      <c r="M1083" s="302">
        <v>1.0144197340449288</v>
      </c>
      <c r="N1083" s="302">
        <v>0.57089170862382355</v>
      </c>
      <c r="O1083" s="302">
        <f t="shared" si="464"/>
        <v>3.3057679864526066</v>
      </c>
    </row>
    <row r="1084" spans="1:15" s="236" customFormat="1" x14ac:dyDescent="0.2">
      <c r="A1084" s="237" t="str">
        <f>name!E$8</f>
        <v>Skilled trades occupations</v>
      </c>
      <c r="B1084" s="302">
        <v>1.215503420032112</v>
      </c>
      <c r="C1084" s="302">
        <v>0.19165993402372003</v>
      </c>
      <c r="D1084" s="302">
        <v>0.55190856424785117</v>
      </c>
      <c r="E1084" s="302">
        <f t="shared" si="462"/>
        <v>1.9590719183036831</v>
      </c>
      <c r="F1084" s="303"/>
      <c r="G1084" s="302">
        <v>0.75979925479587263</v>
      </c>
      <c r="H1084" s="302">
        <v>8.5995190611799846E-2</v>
      </c>
      <c r="I1084" s="302">
        <v>0.50071307698398304</v>
      </c>
      <c r="J1084" s="302">
        <f>SUM(G1084:I1084)</f>
        <v>1.3465075223916556</v>
      </c>
      <c r="K1084" s="303"/>
      <c r="L1084" s="302">
        <v>0.82760721414251115</v>
      </c>
      <c r="M1084" s="302">
        <v>0.11814090414224808</v>
      </c>
      <c r="N1084" s="302">
        <v>0.50292603483982312</v>
      </c>
      <c r="O1084" s="302">
        <f t="shared" si="464"/>
        <v>1.4486741531245824</v>
      </c>
    </row>
    <row r="1085" spans="1:15" s="236" customFormat="1" x14ac:dyDescent="0.2">
      <c r="A1085" s="237" t="str">
        <f>name!E$9</f>
        <v>Caring, leisure and other service occupations</v>
      </c>
      <c r="B1085" s="302">
        <v>1.5066372248012738</v>
      </c>
      <c r="C1085" s="302">
        <v>1.0035957116544538</v>
      </c>
      <c r="D1085" s="302">
        <v>0.68495440459990709</v>
      </c>
      <c r="E1085" s="302">
        <f t="shared" si="462"/>
        <v>3.1951873410556346</v>
      </c>
      <c r="F1085" s="303"/>
      <c r="G1085" s="302">
        <v>1.29186201957104</v>
      </c>
      <c r="H1085" s="302">
        <v>0.77498151518228853</v>
      </c>
      <c r="I1085" s="302">
        <v>0.95556208696374645</v>
      </c>
      <c r="J1085" s="302">
        <f t="shared" ref="J1085:J1088" si="465">SUM(G1085:I1085)</f>
        <v>3.0224056217170747</v>
      </c>
      <c r="K1085" s="303"/>
      <c r="L1085" s="302">
        <v>1.7318723572871391</v>
      </c>
      <c r="M1085" s="302">
        <v>0.9975255319179831</v>
      </c>
      <c r="N1085" s="302">
        <v>1.1035139844713369</v>
      </c>
      <c r="O1085" s="302">
        <f t="shared" si="464"/>
        <v>3.8329118736764589</v>
      </c>
    </row>
    <row r="1086" spans="1:15" s="236" customFormat="1" x14ac:dyDescent="0.2">
      <c r="A1086" s="237" t="str">
        <f>name!E$10</f>
        <v>Sales and customer service occupations</v>
      </c>
      <c r="B1086" s="302">
        <v>1.288323409707073</v>
      </c>
      <c r="C1086" s="302">
        <v>0.76720703761688491</v>
      </c>
      <c r="D1086" s="302">
        <v>0.22340759960408033</v>
      </c>
      <c r="E1086" s="302">
        <f t="shared" si="462"/>
        <v>2.2789380469280385</v>
      </c>
      <c r="F1086" s="303"/>
      <c r="G1086" s="302">
        <v>1.0526083632283205</v>
      </c>
      <c r="H1086" s="302">
        <v>0.54147396434871009</v>
      </c>
      <c r="I1086" s="302">
        <v>0.20293758203628093</v>
      </c>
      <c r="J1086" s="302">
        <f t="shared" si="465"/>
        <v>1.7970199096133115</v>
      </c>
      <c r="K1086" s="303"/>
      <c r="L1086" s="302">
        <v>1.362127748898917</v>
      </c>
      <c r="M1086" s="302">
        <v>0.88195741742463796</v>
      </c>
      <c r="N1086" s="302">
        <v>0.19461336695815296</v>
      </c>
      <c r="O1086" s="302">
        <f t="shared" si="464"/>
        <v>2.4386985332817082</v>
      </c>
    </row>
    <row r="1087" spans="1:15" s="236" customFormat="1" x14ac:dyDescent="0.2">
      <c r="A1087" s="237" t="str">
        <f>name!E$11</f>
        <v>Process, plant and machine operatives</v>
      </c>
      <c r="B1087" s="302">
        <v>1.8400781547582314</v>
      </c>
      <c r="C1087" s="302">
        <v>0.47381427160691658</v>
      </c>
      <c r="D1087" s="302">
        <v>0.10686147600680221</v>
      </c>
      <c r="E1087" s="302">
        <f t="shared" si="462"/>
        <v>2.4207539023719504</v>
      </c>
      <c r="F1087" s="303"/>
      <c r="G1087" s="302">
        <v>1.2079811991788323</v>
      </c>
      <c r="H1087" s="302">
        <v>0.32252654013010829</v>
      </c>
      <c r="I1087" s="302">
        <v>0.13085760593117168</v>
      </c>
      <c r="J1087" s="302">
        <f t="shared" si="465"/>
        <v>1.6613653452401123</v>
      </c>
      <c r="K1087" s="303"/>
      <c r="L1087" s="302">
        <v>1.4657017828651215</v>
      </c>
      <c r="M1087" s="302">
        <v>0.48360149534339181</v>
      </c>
      <c r="N1087" s="302">
        <v>0.186778437531988</v>
      </c>
      <c r="O1087" s="302">
        <f t="shared" si="464"/>
        <v>2.1360817157405014</v>
      </c>
    </row>
    <row r="1088" spans="1:15" s="236" customFormat="1" x14ac:dyDescent="0.2">
      <c r="A1088" s="237" t="str">
        <f>name!E$12</f>
        <v>Elementary occupations</v>
      </c>
      <c r="B1088" s="302">
        <v>10.358096093932902</v>
      </c>
      <c r="C1088" s="302">
        <v>6.0018602065733164</v>
      </c>
      <c r="D1088" s="302">
        <v>2.4282219219267085</v>
      </c>
      <c r="E1088" s="302">
        <f t="shared" si="462"/>
        <v>18.788178222432929</v>
      </c>
      <c r="F1088" s="303"/>
      <c r="G1088" s="302">
        <v>7.3418330745561198</v>
      </c>
      <c r="H1088" s="302">
        <v>3.3962685560618651</v>
      </c>
      <c r="I1088" s="302">
        <v>2.2038047088111856</v>
      </c>
      <c r="J1088" s="302">
        <f t="shared" si="465"/>
        <v>12.94190633942917</v>
      </c>
      <c r="K1088" s="303"/>
      <c r="L1088" s="302">
        <v>9.0863365977054933</v>
      </c>
      <c r="M1088" s="302">
        <v>3.436687750453657</v>
      </c>
      <c r="N1088" s="302">
        <v>3.2307795101536181</v>
      </c>
      <c r="O1088" s="302">
        <f t="shared" si="464"/>
        <v>15.753803858312768</v>
      </c>
    </row>
    <row r="1089" spans="1:15" s="236" customFormat="1" x14ac:dyDescent="0.2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2">
      <c r="A1090" s="244" t="s">
        <v>32</v>
      </c>
      <c r="B1090" s="311">
        <f>SUM(B1080:B1088)</f>
        <v>28.526999999970876</v>
      </c>
      <c r="C1090" s="311">
        <f t="shared" ref="C1090:E1090" si="466">SUM(C1080:C1088)</f>
        <v>10.823000000063686</v>
      </c>
      <c r="D1090" s="311">
        <f t="shared" si="466"/>
        <v>7.5830000001066349</v>
      </c>
      <c r="E1090" s="311">
        <f t="shared" si="466"/>
        <v>46.933000000141206</v>
      </c>
      <c r="F1090" s="311"/>
      <c r="G1090" s="311">
        <f t="shared" ref="G1090:J1090" si="467">SUM(G1080:G1088)</f>
        <v>23.12500000011892</v>
      </c>
      <c r="H1090" s="311">
        <f t="shared" si="467"/>
        <v>7.2060000000596744</v>
      </c>
      <c r="I1090" s="311">
        <f t="shared" si="467"/>
        <v>8.1799999999691728</v>
      </c>
      <c r="J1090" s="311">
        <f t="shared" si="467"/>
        <v>38.51100000014776</v>
      </c>
      <c r="K1090" s="311"/>
      <c r="L1090" s="311">
        <f t="shared" ref="L1090:O1090" si="468">SUM(L1080:L1088)</f>
        <v>28.424000000097003</v>
      </c>
      <c r="M1090" s="311">
        <f t="shared" si="468"/>
        <v>8.5060000000706921</v>
      </c>
      <c r="N1090" s="311">
        <f t="shared" si="468"/>
        <v>9.8540000000823369</v>
      </c>
      <c r="O1090" s="311">
        <f t="shared" si="468"/>
        <v>46.784000000250039</v>
      </c>
    </row>
    <row r="1091" spans="1:15" s="236" customFormat="1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2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2">
      <c r="A1094" s="241" t="str">
        <f>name!A67</f>
        <v>Public administration and defence</v>
      </c>
      <c r="B1094" s="374">
        <f>$B$6</f>
        <v>2015</v>
      </c>
      <c r="C1094" s="374"/>
      <c r="D1094" s="374"/>
      <c r="E1094" s="374"/>
      <c r="F1094" s="263"/>
      <c r="G1094" s="374">
        <f>$G$6</f>
        <v>2020</v>
      </c>
      <c r="H1094" s="374"/>
      <c r="I1094" s="374"/>
      <c r="J1094" s="374"/>
      <c r="K1094" s="263"/>
      <c r="L1094" s="374">
        <f>$L$6</f>
        <v>2035</v>
      </c>
      <c r="M1094" s="374"/>
      <c r="N1094" s="374"/>
      <c r="O1094" s="374"/>
    </row>
    <row r="1095" spans="1:15" s="236" customFormat="1" x14ac:dyDescent="0.2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2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2">
      <c r="A1097" s="237" t="str">
        <f>name!E$4</f>
        <v>Managers, directors and senior officials</v>
      </c>
      <c r="B1097" s="302">
        <v>6.7226777089475025</v>
      </c>
      <c r="C1097" s="302">
        <v>1.7038684952763528</v>
      </c>
      <c r="D1097" s="302">
        <v>0.67745238792228513</v>
      </c>
      <c r="E1097" s="302">
        <f>SUM(B1097:D1097)</f>
        <v>9.1039985921461408</v>
      </c>
      <c r="F1097" s="303"/>
      <c r="G1097" s="302">
        <v>7.5191834276904492</v>
      </c>
      <c r="H1097" s="302">
        <v>2.3336637857109874</v>
      </c>
      <c r="I1097" s="302">
        <v>0.90366281619069788</v>
      </c>
      <c r="J1097" s="302">
        <f>SUM(G1097:I1097)</f>
        <v>10.756510029592134</v>
      </c>
      <c r="K1097" s="303"/>
      <c r="L1097" s="302">
        <v>7.8717095251147455</v>
      </c>
      <c r="M1097" s="302">
        <v>2.9464681410143854</v>
      </c>
      <c r="N1097" s="302">
        <v>1.0926808946993007</v>
      </c>
      <c r="O1097" s="302">
        <f>SUM(L1097:N1097)</f>
        <v>11.910858560828432</v>
      </c>
    </row>
    <row r="1098" spans="1:15" s="236" customFormat="1" x14ac:dyDescent="0.2">
      <c r="A1098" s="237" t="str">
        <f>name!E$5</f>
        <v>Professional occupations</v>
      </c>
      <c r="B1098" s="302">
        <v>16.108538002509309</v>
      </c>
      <c r="C1098" s="302">
        <v>5.1188547100316777</v>
      </c>
      <c r="D1098" s="302">
        <v>2.0856691219961023</v>
      </c>
      <c r="E1098" s="302">
        <f t="shared" ref="E1098:E1105" si="469">SUM(B1098:D1098)</f>
        <v>23.313061834537088</v>
      </c>
      <c r="F1098" s="303"/>
      <c r="G1098" s="302">
        <v>20.679009690087156</v>
      </c>
      <c r="H1098" s="302">
        <v>6.5785716285988549</v>
      </c>
      <c r="I1098" s="302">
        <v>2.5212714098005122</v>
      </c>
      <c r="J1098" s="302">
        <f t="shared" ref="J1098:J1100" si="470">SUM(G1098:I1098)</f>
        <v>29.778852728486523</v>
      </c>
      <c r="K1098" s="303"/>
      <c r="L1098" s="302">
        <v>24.963478637258724</v>
      </c>
      <c r="M1098" s="302">
        <v>9.1149597225984245</v>
      </c>
      <c r="N1098" s="302">
        <v>2.2342529069459367</v>
      </c>
      <c r="O1098" s="302">
        <f t="shared" ref="O1098:O1105" si="471">SUM(L1098:N1098)</f>
        <v>36.312691266803085</v>
      </c>
    </row>
    <row r="1099" spans="1:15" s="236" customFormat="1" x14ac:dyDescent="0.2">
      <c r="A1099" s="237" t="str">
        <f>name!E$6</f>
        <v>Associate professional occupations</v>
      </c>
      <c r="B1099" s="302">
        <v>19.137378296329132</v>
      </c>
      <c r="C1099" s="302">
        <v>5.4429167481934764</v>
      </c>
      <c r="D1099" s="302">
        <v>1.134642521225564</v>
      </c>
      <c r="E1099" s="302">
        <f t="shared" si="469"/>
        <v>25.714937565748173</v>
      </c>
      <c r="F1099" s="303"/>
      <c r="G1099" s="302">
        <v>22.041074003245065</v>
      </c>
      <c r="H1099" s="302">
        <v>5.9074939147511429</v>
      </c>
      <c r="I1099" s="302">
        <v>1.0538091046416371</v>
      </c>
      <c r="J1099" s="302">
        <f t="shared" si="470"/>
        <v>29.002377022637845</v>
      </c>
      <c r="K1099" s="303"/>
      <c r="L1099" s="302">
        <v>24.567354600291786</v>
      </c>
      <c r="M1099" s="302">
        <v>7.3047775518216449</v>
      </c>
      <c r="N1099" s="302">
        <v>0.99417591590502397</v>
      </c>
      <c r="O1099" s="302">
        <f t="shared" si="471"/>
        <v>32.866308068018455</v>
      </c>
    </row>
    <row r="1100" spans="1:15" s="236" customFormat="1" x14ac:dyDescent="0.2">
      <c r="A1100" s="237" t="str">
        <f>name!E$7</f>
        <v>Administrative and secretarial occupations</v>
      </c>
      <c r="B1100" s="302">
        <v>11.778957097828133</v>
      </c>
      <c r="C1100" s="302">
        <v>13.146209849060609</v>
      </c>
      <c r="D1100" s="302">
        <v>0.37604624111333851</v>
      </c>
      <c r="E1100" s="302">
        <f t="shared" si="469"/>
        <v>25.301213188002084</v>
      </c>
      <c r="F1100" s="303"/>
      <c r="G1100" s="302">
        <v>11.570349248536928</v>
      </c>
      <c r="H1100" s="302">
        <v>12.05542113967144</v>
      </c>
      <c r="I1100" s="302">
        <v>0.31844220400655049</v>
      </c>
      <c r="J1100" s="302">
        <f t="shared" si="470"/>
        <v>23.944212592214917</v>
      </c>
      <c r="K1100" s="303"/>
      <c r="L1100" s="302">
        <v>7.284685491234737</v>
      </c>
      <c r="M1100" s="302">
        <v>10.390369306740849</v>
      </c>
      <c r="N1100" s="302">
        <v>0.27770423964569574</v>
      </c>
      <c r="O1100" s="302">
        <f t="shared" si="471"/>
        <v>17.952759037621284</v>
      </c>
    </row>
    <row r="1101" spans="1:15" s="236" customFormat="1" x14ac:dyDescent="0.2">
      <c r="A1101" s="237" t="str">
        <f>name!E$8</f>
        <v>Skilled trades occupations</v>
      </c>
      <c r="B1101" s="302">
        <v>1.7108790565901888</v>
      </c>
      <c r="C1101" s="302">
        <v>0.19274936858798919</v>
      </c>
      <c r="D1101" s="302">
        <v>0.46038561745311202</v>
      </c>
      <c r="E1101" s="302">
        <f t="shared" si="469"/>
        <v>2.3640140426312897</v>
      </c>
      <c r="F1101" s="303"/>
      <c r="G1101" s="302">
        <v>1.3758351145943433</v>
      </c>
      <c r="H1101" s="302">
        <v>0.15713621066663799</v>
      </c>
      <c r="I1101" s="302">
        <v>0.44661103688175613</v>
      </c>
      <c r="J1101" s="302">
        <f>SUM(G1101:I1101)</f>
        <v>1.9795823621427375</v>
      </c>
      <c r="K1101" s="303"/>
      <c r="L1101" s="302">
        <v>1.4545283760903576</v>
      </c>
      <c r="M1101" s="302">
        <v>0.37695877044305937</v>
      </c>
      <c r="N1101" s="302">
        <v>0.55036354552585842</v>
      </c>
      <c r="O1101" s="302">
        <f t="shared" si="471"/>
        <v>2.3818506920592757</v>
      </c>
    </row>
    <row r="1102" spans="1:15" s="236" customFormat="1" x14ac:dyDescent="0.2">
      <c r="A1102" s="237" t="str">
        <f>name!E$9</f>
        <v>Caring, leisure and other service occupations</v>
      </c>
      <c r="B1102" s="302">
        <v>2.5579769505138485</v>
      </c>
      <c r="C1102" s="302">
        <v>3.1072321571836707</v>
      </c>
      <c r="D1102" s="302">
        <v>0.39057671974598918</v>
      </c>
      <c r="E1102" s="302">
        <f t="shared" si="469"/>
        <v>6.0557858274435086</v>
      </c>
      <c r="F1102" s="303"/>
      <c r="G1102" s="302">
        <v>2.5343721813675519</v>
      </c>
      <c r="H1102" s="302">
        <v>2.9451707457563696</v>
      </c>
      <c r="I1102" s="302">
        <v>0.42075284534506607</v>
      </c>
      <c r="J1102" s="302">
        <f t="shared" ref="J1102:J1105" si="472">SUM(G1102:I1102)</f>
        <v>5.9002957724689873</v>
      </c>
      <c r="K1102" s="303"/>
      <c r="L1102" s="302">
        <v>2.9631922259281169</v>
      </c>
      <c r="M1102" s="302">
        <v>3.4280224424535395</v>
      </c>
      <c r="N1102" s="302">
        <v>0.43393737346148736</v>
      </c>
      <c r="O1102" s="302">
        <f t="shared" si="471"/>
        <v>6.8251520418431442</v>
      </c>
    </row>
    <row r="1103" spans="1:15" s="236" customFormat="1" x14ac:dyDescent="0.2">
      <c r="A1103" s="237" t="str">
        <f>name!E$10</f>
        <v>Sales and customer service occupations</v>
      </c>
      <c r="B1103" s="302">
        <v>1.2223056591608779</v>
      </c>
      <c r="C1103" s="302">
        <v>1.2450476279359328</v>
      </c>
      <c r="D1103" s="302">
        <v>0.13401696243261627</v>
      </c>
      <c r="E1103" s="302">
        <f t="shared" si="469"/>
        <v>2.6013702495294266</v>
      </c>
      <c r="F1103" s="303"/>
      <c r="G1103" s="302">
        <v>1.2127652643200977</v>
      </c>
      <c r="H1103" s="302">
        <v>1.2463448734930436</v>
      </c>
      <c r="I1103" s="302">
        <v>0.14944490703293889</v>
      </c>
      <c r="J1103" s="302">
        <f t="shared" si="472"/>
        <v>2.6085550448460801</v>
      </c>
      <c r="K1103" s="303"/>
      <c r="L1103" s="302">
        <v>1.3458864494585054</v>
      </c>
      <c r="M1103" s="302">
        <v>1.7067629093354955</v>
      </c>
      <c r="N1103" s="302">
        <v>0.1702637316780205</v>
      </c>
      <c r="O1103" s="302">
        <f t="shared" si="471"/>
        <v>3.2229130904720216</v>
      </c>
    </row>
    <row r="1104" spans="1:15" s="236" customFormat="1" x14ac:dyDescent="0.2">
      <c r="A1104" s="237" t="str">
        <f>name!E$11</f>
        <v>Process, plant and machine operatives</v>
      </c>
      <c r="B1104" s="302">
        <v>1.1973852185122551</v>
      </c>
      <c r="C1104" s="302">
        <v>0.50260481686586489</v>
      </c>
      <c r="D1104" s="302">
        <v>6.1853120177044717E-2</v>
      </c>
      <c r="E1104" s="302">
        <f t="shared" si="469"/>
        <v>1.7618431555551648</v>
      </c>
      <c r="F1104" s="303"/>
      <c r="G1104" s="302">
        <v>0.91302502803526131</v>
      </c>
      <c r="H1104" s="302">
        <v>0.38809125318291593</v>
      </c>
      <c r="I1104" s="302">
        <v>0.11982053026066543</v>
      </c>
      <c r="J1104" s="302">
        <f t="shared" si="472"/>
        <v>1.4209368114788425</v>
      </c>
      <c r="K1104" s="303"/>
      <c r="L1104" s="302">
        <v>0.99936117999918384</v>
      </c>
      <c r="M1104" s="302">
        <v>0.56489688799995363</v>
      </c>
      <c r="N1104" s="302">
        <v>0.24173166069680435</v>
      </c>
      <c r="O1104" s="302">
        <f t="shared" si="471"/>
        <v>1.8059897286959419</v>
      </c>
    </row>
    <row r="1105" spans="1:15" s="236" customFormat="1" x14ac:dyDescent="0.2">
      <c r="A1105" s="237" t="str">
        <f>name!E$12</f>
        <v>Elementary occupations</v>
      </c>
      <c r="B1105" s="302">
        <v>1.9059020095783505</v>
      </c>
      <c r="C1105" s="302">
        <v>1.908516226681052</v>
      </c>
      <c r="D1105" s="302">
        <v>8.0357307991092766E-2</v>
      </c>
      <c r="E1105" s="302">
        <f t="shared" si="469"/>
        <v>3.8947755442504954</v>
      </c>
      <c r="F1105" s="303"/>
      <c r="G1105" s="302">
        <v>1.5253860414146707</v>
      </c>
      <c r="H1105" s="302">
        <v>1.4071064478557105</v>
      </c>
      <c r="I1105" s="302">
        <v>0.57218514580220725</v>
      </c>
      <c r="J1105" s="302">
        <f t="shared" si="472"/>
        <v>3.5046776350725888</v>
      </c>
      <c r="K1105" s="303"/>
      <c r="L1105" s="302">
        <v>1.3878035142574003</v>
      </c>
      <c r="M1105" s="302">
        <v>1.2597842676701823</v>
      </c>
      <c r="N1105" s="302">
        <v>1.1528897315159718</v>
      </c>
      <c r="O1105" s="302">
        <f t="shared" si="471"/>
        <v>3.8004775134435547</v>
      </c>
    </row>
    <row r="1106" spans="1:15" s="236" customFormat="1" x14ac:dyDescent="0.2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2">
      <c r="A1107" s="244" t="s">
        <v>32</v>
      </c>
      <c r="B1107" s="311">
        <f>SUM(B1097:B1105)</f>
        <v>62.341999999969595</v>
      </c>
      <c r="C1107" s="311">
        <f t="shared" ref="C1107:E1107" si="473">SUM(C1097:C1105)</f>
        <v>32.367999999816625</v>
      </c>
      <c r="D1107" s="311">
        <f t="shared" si="473"/>
        <v>5.4010000000571443</v>
      </c>
      <c r="E1107" s="311">
        <f t="shared" si="473"/>
        <v>100.11099999984337</v>
      </c>
      <c r="F1107" s="311"/>
      <c r="G1107" s="311">
        <f t="shared" ref="G1107:J1107" si="474">SUM(G1097:G1105)</f>
        <v>69.370999999291541</v>
      </c>
      <c r="H1107" s="311">
        <f t="shared" si="474"/>
        <v>33.018999999687111</v>
      </c>
      <c r="I1107" s="311">
        <f t="shared" si="474"/>
        <v>6.5059999999620315</v>
      </c>
      <c r="J1107" s="311">
        <f t="shared" si="474"/>
        <v>108.89599999894064</v>
      </c>
      <c r="K1107" s="311"/>
      <c r="L1107" s="311">
        <f t="shared" ref="L1107:O1107" si="475">SUM(L1097:L1105)</f>
        <v>72.837999999633539</v>
      </c>
      <c r="M1107" s="311">
        <f t="shared" si="475"/>
        <v>37.093000000077538</v>
      </c>
      <c r="N1107" s="311">
        <f t="shared" si="475"/>
        <v>7.1480000000741004</v>
      </c>
      <c r="O1107" s="311">
        <f t="shared" si="475"/>
        <v>117.0789999997852</v>
      </c>
    </row>
    <row r="1108" spans="1:15" s="236" customFormat="1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2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2">
      <c r="A1111" s="241" t="str">
        <f>name!A68</f>
        <v xml:space="preserve">Education </v>
      </c>
      <c r="B1111" s="374">
        <f>$B$6</f>
        <v>2015</v>
      </c>
      <c r="C1111" s="374"/>
      <c r="D1111" s="374"/>
      <c r="E1111" s="374"/>
      <c r="F1111" s="263"/>
      <c r="G1111" s="374">
        <f>$G$6</f>
        <v>2020</v>
      </c>
      <c r="H1111" s="374"/>
      <c r="I1111" s="374"/>
      <c r="J1111" s="374"/>
      <c r="K1111" s="263"/>
      <c r="L1111" s="374">
        <f>$L$6</f>
        <v>2035</v>
      </c>
      <c r="M1111" s="374"/>
      <c r="N1111" s="374"/>
      <c r="O1111" s="374"/>
    </row>
    <row r="1112" spans="1:15" s="236" customFormat="1" x14ac:dyDescent="0.2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2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2">
      <c r="A1114" s="237" t="str">
        <f>name!E$4</f>
        <v>Managers, directors and senior officials</v>
      </c>
      <c r="B1114" s="302">
        <v>2.9690202783208406</v>
      </c>
      <c r="C1114" s="302">
        <v>1.559807112454239</v>
      </c>
      <c r="D1114" s="302">
        <v>1.4835148490358052</v>
      </c>
      <c r="E1114" s="302">
        <f>SUM(B1114:D1114)</f>
        <v>6.0123422398108843</v>
      </c>
      <c r="F1114" s="303"/>
      <c r="G1114" s="302">
        <v>2.9514020335113895</v>
      </c>
      <c r="H1114" s="302">
        <v>2.0740168562853376</v>
      </c>
      <c r="I1114" s="302">
        <v>1.3020438044475513</v>
      </c>
      <c r="J1114" s="302">
        <f>SUM(G1114:I1114)</f>
        <v>6.3274626942442787</v>
      </c>
      <c r="K1114" s="303"/>
      <c r="L1114" s="302">
        <v>3.1693196760675892</v>
      </c>
      <c r="M1114" s="302">
        <v>2.5618634966856635</v>
      </c>
      <c r="N1114" s="302">
        <v>1.3794864746936693</v>
      </c>
      <c r="O1114" s="302">
        <f>SUM(L1114:N1114)</f>
        <v>7.1106696474469224</v>
      </c>
    </row>
    <row r="1115" spans="1:15" s="236" customFormat="1" x14ac:dyDescent="0.2">
      <c r="A1115" s="237" t="str">
        <f>name!E$5</f>
        <v>Professional occupations</v>
      </c>
      <c r="B1115" s="302">
        <v>66.498997952571429</v>
      </c>
      <c r="C1115" s="302">
        <v>44.621511895511475</v>
      </c>
      <c r="D1115" s="302">
        <v>11.327683817012254</v>
      </c>
      <c r="E1115" s="302">
        <f t="shared" ref="E1115:E1122" si="476">SUM(B1115:D1115)</f>
        <v>122.44819366509516</v>
      </c>
      <c r="F1115" s="303"/>
      <c r="G1115" s="302">
        <v>70.699732491531151</v>
      </c>
      <c r="H1115" s="302">
        <v>50.199430982920831</v>
      </c>
      <c r="I1115" s="302">
        <v>12.124581256827105</v>
      </c>
      <c r="J1115" s="302">
        <f t="shared" ref="J1115:J1117" si="477">SUM(G1115:I1115)</f>
        <v>133.02374473127909</v>
      </c>
      <c r="K1115" s="303"/>
      <c r="L1115" s="302">
        <v>79.198763358121283</v>
      </c>
      <c r="M1115" s="302">
        <v>63.689403741886423</v>
      </c>
      <c r="N1115" s="302">
        <v>13.076041000382341</v>
      </c>
      <c r="O1115" s="302">
        <f t="shared" ref="O1115:O1122" si="478">SUM(L1115:N1115)</f>
        <v>155.96420810039004</v>
      </c>
    </row>
    <row r="1116" spans="1:15" s="236" customFormat="1" x14ac:dyDescent="0.2">
      <c r="A1116" s="237" t="str">
        <f>name!E$6</f>
        <v>Associate professional occupations</v>
      </c>
      <c r="B1116" s="302">
        <v>6.3838461994064115</v>
      </c>
      <c r="C1116" s="302">
        <v>8.2663950465349938</v>
      </c>
      <c r="D1116" s="302">
        <v>4.7821019057400296</v>
      </c>
      <c r="E1116" s="302">
        <f t="shared" si="476"/>
        <v>19.432343151681437</v>
      </c>
      <c r="F1116" s="303"/>
      <c r="G1116" s="302">
        <v>6.7444858924932145</v>
      </c>
      <c r="H1116" s="302">
        <v>9.2913066701341673</v>
      </c>
      <c r="I1116" s="302">
        <v>3.5513148252537263</v>
      </c>
      <c r="J1116" s="302">
        <f t="shared" si="477"/>
        <v>19.587107387881108</v>
      </c>
      <c r="K1116" s="303"/>
      <c r="L1116" s="302">
        <v>6.3646086175028307</v>
      </c>
      <c r="M1116" s="302">
        <v>9.6922839248608916</v>
      </c>
      <c r="N1116" s="302">
        <v>3.7868546926364064</v>
      </c>
      <c r="O1116" s="302">
        <f t="shared" si="478"/>
        <v>19.84374723500013</v>
      </c>
    </row>
    <row r="1117" spans="1:15" s="236" customFormat="1" x14ac:dyDescent="0.2">
      <c r="A1117" s="237" t="str">
        <f>name!E$7</f>
        <v>Administrative and secretarial occupations</v>
      </c>
      <c r="B1117" s="302">
        <v>3.6159536612971412</v>
      </c>
      <c r="C1117" s="302">
        <v>8.3197173245538885</v>
      </c>
      <c r="D1117" s="302">
        <v>0.5124287145596953</v>
      </c>
      <c r="E1117" s="302">
        <f t="shared" si="476"/>
        <v>12.448099700410724</v>
      </c>
      <c r="F1117" s="303"/>
      <c r="G1117" s="302">
        <v>3.182231271696808</v>
      </c>
      <c r="H1117" s="302">
        <v>7.5581244100964735</v>
      </c>
      <c r="I1117" s="302">
        <v>0.44132067035504957</v>
      </c>
      <c r="J1117" s="302">
        <f t="shared" si="477"/>
        <v>11.181676352148331</v>
      </c>
      <c r="K1117" s="303"/>
      <c r="L1117" s="302">
        <v>1.8436177116187022</v>
      </c>
      <c r="M1117" s="302">
        <v>3.3363370231917271</v>
      </c>
      <c r="N1117" s="302">
        <v>0.29245321141113417</v>
      </c>
      <c r="O1117" s="302">
        <f t="shared" si="478"/>
        <v>5.4724079462215638</v>
      </c>
    </row>
    <row r="1118" spans="1:15" s="236" customFormat="1" x14ac:dyDescent="0.2">
      <c r="A1118" s="237" t="str">
        <f>name!E$8</f>
        <v>Skilled trades occupations</v>
      </c>
      <c r="B1118" s="302">
        <v>1.8115166936135101</v>
      </c>
      <c r="C1118" s="302">
        <v>1.3062627716909765</v>
      </c>
      <c r="D1118" s="302">
        <v>0.29450075674890103</v>
      </c>
      <c r="E1118" s="302">
        <f t="shared" si="476"/>
        <v>3.4122802220533877</v>
      </c>
      <c r="F1118" s="303"/>
      <c r="G1118" s="302">
        <v>1.2979216278911818</v>
      </c>
      <c r="H1118" s="302">
        <v>0.92657602799502858</v>
      </c>
      <c r="I1118" s="302">
        <v>0.2285606518737695</v>
      </c>
      <c r="J1118" s="302">
        <f>SUM(G1118:I1118)</f>
        <v>2.4530583077599801</v>
      </c>
      <c r="K1118" s="303"/>
      <c r="L1118" s="302">
        <v>0.94298043427162881</v>
      </c>
      <c r="M1118" s="302">
        <v>0.49424429708100365</v>
      </c>
      <c r="N1118" s="302">
        <v>0.43328218195376755</v>
      </c>
      <c r="O1118" s="302">
        <f t="shared" si="478"/>
        <v>1.8705069133064001</v>
      </c>
    </row>
    <row r="1119" spans="1:15" s="236" customFormat="1" x14ac:dyDescent="0.2">
      <c r="A1119" s="237" t="str">
        <f>name!E$9</f>
        <v>Caring, leisure and other service occupations</v>
      </c>
      <c r="B1119" s="302">
        <v>19.222047232028306</v>
      </c>
      <c r="C1119" s="302">
        <v>35.24625468565349</v>
      </c>
      <c r="D1119" s="302">
        <v>1.2661810122891153</v>
      </c>
      <c r="E1119" s="302">
        <f t="shared" si="476"/>
        <v>55.734482929970916</v>
      </c>
      <c r="F1119" s="303"/>
      <c r="G1119" s="302">
        <v>17.928649443794402</v>
      </c>
      <c r="H1119" s="302">
        <v>34.128281052447001</v>
      </c>
      <c r="I1119" s="302">
        <v>1.4139811208079023</v>
      </c>
      <c r="J1119" s="302">
        <f t="shared" ref="J1119:J1122" si="479">SUM(G1119:I1119)</f>
        <v>53.47091161704931</v>
      </c>
      <c r="K1119" s="303"/>
      <c r="L1119" s="302">
        <v>22.977373680241069</v>
      </c>
      <c r="M1119" s="302">
        <v>34.293171656842752</v>
      </c>
      <c r="N1119" s="302">
        <v>2.2665815203078337</v>
      </c>
      <c r="O1119" s="302">
        <f t="shared" si="478"/>
        <v>59.537126857391648</v>
      </c>
    </row>
    <row r="1120" spans="1:15" s="236" customFormat="1" x14ac:dyDescent="0.2">
      <c r="A1120" s="237" t="str">
        <f>name!E$10</f>
        <v>Sales and customer service occupations</v>
      </c>
      <c r="B1120" s="302">
        <v>0.39145460880601313</v>
      </c>
      <c r="C1120" s="302">
        <v>0.67952847503844294</v>
      </c>
      <c r="D1120" s="302">
        <v>0.24754364215431315</v>
      </c>
      <c r="E1120" s="302">
        <f t="shared" si="476"/>
        <v>1.3185267259987692</v>
      </c>
      <c r="F1120" s="303"/>
      <c r="G1120" s="302">
        <v>0.34427930653201683</v>
      </c>
      <c r="H1120" s="302">
        <v>0.62314366276900846</v>
      </c>
      <c r="I1120" s="302">
        <v>0.14372182152036878</v>
      </c>
      <c r="J1120" s="302">
        <f t="shared" si="479"/>
        <v>1.1111447908213941</v>
      </c>
      <c r="K1120" s="303"/>
      <c r="L1120" s="302">
        <v>0.37590794981872111</v>
      </c>
      <c r="M1120" s="302">
        <v>0.53817845324877189</v>
      </c>
      <c r="N1120" s="302">
        <v>0.16734412298760851</v>
      </c>
      <c r="O1120" s="302">
        <f t="shared" si="478"/>
        <v>1.0814305260551016</v>
      </c>
    </row>
    <row r="1121" spans="1:15" s="236" customFormat="1" x14ac:dyDescent="0.2">
      <c r="A1121" s="237" t="str">
        <f>name!E$11</f>
        <v>Process, plant and machine operatives</v>
      </c>
      <c r="B1121" s="302">
        <v>0.30680467480722018</v>
      </c>
      <c r="C1121" s="302">
        <v>0.60810552144745911</v>
      </c>
      <c r="D1121" s="302">
        <v>3.3210134511865346</v>
      </c>
      <c r="E1121" s="302">
        <f t="shared" si="476"/>
        <v>4.2359236474412141</v>
      </c>
      <c r="F1121" s="303"/>
      <c r="G1121" s="302">
        <v>0.21728052219191857</v>
      </c>
      <c r="H1121" s="302">
        <v>0.43470849004112516</v>
      </c>
      <c r="I1121" s="302">
        <v>2.2992035504787607</v>
      </c>
      <c r="J1121" s="302">
        <f t="shared" si="479"/>
        <v>2.9511925627118045</v>
      </c>
      <c r="K1121" s="303"/>
      <c r="L1121" s="302">
        <v>0.24503648143013942</v>
      </c>
      <c r="M1121" s="302">
        <v>0.48977016579522137</v>
      </c>
      <c r="N1121" s="302">
        <v>2.5225363970811712</v>
      </c>
      <c r="O1121" s="302">
        <f t="shared" si="478"/>
        <v>3.2573430443065319</v>
      </c>
    </row>
    <row r="1122" spans="1:15" s="236" customFormat="1" x14ac:dyDescent="0.2">
      <c r="A1122" s="237" t="str">
        <f>name!E$12</f>
        <v>Elementary occupations</v>
      </c>
      <c r="B1122" s="302">
        <v>2.4913587038586371</v>
      </c>
      <c r="C1122" s="302">
        <v>13.084417163355658</v>
      </c>
      <c r="D1122" s="302">
        <v>6.6031851787940798E-2</v>
      </c>
      <c r="E1122" s="302">
        <f t="shared" si="476"/>
        <v>15.641807719002236</v>
      </c>
      <c r="F1122" s="303"/>
      <c r="G1122" s="302">
        <v>2.0260174119430729</v>
      </c>
      <c r="H1122" s="302">
        <v>9.7274118418075428</v>
      </c>
      <c r="I1122" s="302">
        <v>2.6272298215325497E-2</v>
      </c>
      <c r="J1122" s="302">
        <f t="shared" si="479"/>
        <v>11.779701551965941</v>
      </c>
      <c r="K1122" s="303"/>
      <c r="L1122" s="302">
        <v>2.771392091091057</v>
      </c>
      <c r="M1122" s="302">
        <v>4.1297472410533729</v>
      </c>
      <c r="N1122" s="302">
        <v>4.2420399180010733E-2</v>
      </c>
      <c r="O1122" s="302">
        <f t="shared" si="478"/>
        <v>6.9435597313244406</v>
      </c>
    </row>
    <row r="1123" spans="1:15" s="236" customFormat="1" x14ac:dyDescent="0.2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2">
      <c r="A1124" s="244" t="s">
        <v>32</v>
      </c>
      <c r="B1124" s="311">
        <f>SUM(B1114:B1122)</f>
        <v>103.69100000470951</v>
      </c>
      <c r="C1124" s="311">
        <f t="shared" ref="C1124:E1124" si="480">SUM(C1114:C1122)</f>
        <v>113.69199999624063</v>
      </c>
      <c r="D1124" s="311">
        <f t="shared" si="480"/>
        <v>23.301000000514588</v>
      </c>
      <c r="E1124" s="311">
        <f t="shared" si="480"/>
        <v>240.68400000146471</v>
      </c>
      <c r="F1124" s="311"/>
      <c r="G1124" s="311">
        <f t="shared" ref="G1124:J1124" si="481">SUM(G1114:G1122)</f>
        <v>105.39200000158515</v>
      </c>
      <c r="H1124" s="311">
        <f t="shared" si="481"/>
        <v>114.96299999449653</v>
      </c>
      <c r="I1124" s="311">
        <f t="shared" si="481"/>
        <v>21.530999999779564</v>
      </c>
      <c r="J1124" s="311">
        <f t="shared" si="481"/>
        <v>241.88599999586125</v>
      </c>
      <c r="K1124" s="311"/>
      <c r="L1124" s="311">
        <f t="shared" ref="L1124:O1124" si="482">SUM(L1114:L1122)</f>
        <v>117.88900000016302</v>
      </c>
      <c r="M1124" s="311">
        <f t="shared" si="482"/>
        <v>119.22500000064582</v>
      </c>
      <c r="N1124" s="311">
        <f t="shared" si="482"/>
        <v>23.967000000633945</v>
      </c>
      <c r="O1124" s="311">
        <f t="shared" si="482"/>
        <v>261.08100000144276</v>
      </c>
    </row>
    <row r="1125" spans="1:15" s="236" customFormat="1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2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2">
      <c r="A1128" s="241" t="str">
        <f>name!A69</f>
        <v>Health</v>
      </c>
      <c r="B1128" s="374">
        <f>$B$6</f>
        <v>2015</v>
      </c>
      <c r="C1128" s="374"/>
      <c r="D1128" s="374"/>
      <c r="E1128" s="374"/>
      <c r="F1128" s="263"/>
      <c r="G1128" s="374">
        <f>$G$6</f>
        <v>2020</v>
      </c>
      <c r="H1128" s="374"/>
      <c r="I1128" s="374"/>
      <c r="J1128" s="374"/>
      <c r="K1128" s="263"/>
      <c r="L1128" s="374">
        <f>$L$6</f>
        <v>2035</v>
      </c>
      <c r="M1128" s="374"/>
      <c r="N1128" s="374"/>
      <c r="O1128" s="374"/>
    </row>
    <row r="1129" spans="1:15" s="236" customFormat="1" x14ac:dyDescent="0.2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2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2">
      <c r="A1131" s="237" t="str">
        <f>name!E$4</f>
        <v>Managers, directors and senior officials</v>
      </c>
      <c r="B1131" s="302">
        <v>5.5772755666089591</v>
      </c>
      <c r="C1131" s="302">
        <v>2.3805974215274492</v>
      </c>
      <c r="D1131" s="302">
        <v>1.686875007586043</v>
      </c>
      <c r="E1131" s="302">
        <f>SUM(B1131:D1131)</f>
        <v>9.6447479957224509</v>
      </c>
      <c r="F1131" s="303"/>
      <c r="G1131" s="302">
        <v>5.9311889102191193</v>
      </c>
      <c r="H1131" s="302">
        <v>3.2737137982163462</v>
      </c>
      <c r="I1131" s="302">
        <v>2.3567390940179713</v>
      </c>
      <c r="J1131" s="302">
        <f>SUM(G1131:I1131)</f>
        <v>11.561641802453437</v>
      </c>
      <c r="K1131" s="303"/>
      <c r="L1131" s="302">
        <v>8.2618290575019948</v>
      </c>
      <c r="M1131" s="302">
        <v>5.1677735446933575</v>
      </c>
      <c r="N1131" s="302">
        <v>2.8480245685071219</v>
      </c>
      <c r="O1131" s="302">
        <f>SUM(L1131:N1131)</f>
        <v>16.277627170702473</v>
      </c>
    </row>
    <row r="1132" spans="1:15" s="236" customFormat="1" x14ac:dyDescent="0.2">
      <c r="A1132" s="237" t="str">
        <f>name!E$5</f>
        <v>Professional occupations</v>
      </c>
      <c r="B1132" s="302">
        <v>38.068406883135196</v>
      </c>
      <c r="C1132" s="302">
        <v>21.132362372106542</v>
      </c>
      <c r="D1132" s="302">
        <v>8.7441905157676434</v>
      </c>
      <c r="E1132" s="302">
        <f t="shared" ref="E1132:E1139" si="483">SUM(B1132:D1132)</f>
        <v>67.94495977100938</v>
      </c>
      <c r="F1132" s="303"/>
      <c r="G1132" s="302">
        <v>43.6243393259981</v>
      </c>
      <c r="H1132" s="302">
        <v>25.616646469947518</v>
      </c>
      <c r="I1132" s="302">
        <v>9.5157542132022765</v>
      </c>
      <c r="J1132" s="302">
        <f t="shared" ref="J1132:J1134" si="484">SUM(G1132:I1132)</f>
        <v>78.75674000914789</v>
      </c>
      <c r="K1132" s="303"/>
      <c r="L1132" s="302">
        <v>63.286711751465617</v>
      </c>
      <c r="M1132" s="302">
        <v>38.270085609674936</v>
      </c>
      <c r="N1132" s="302">
        <v>12.458111805355252</v>
      </c>
      <c r="O1132" s="302">
        <f t="shared" ref="O1132:O1139" si="485">SUM(L1132:N1132)</f>
        <v>114.01490916649581</v>
      </c>
    </row>
    <row r="1133" spans="1:15" s="236" customFormat="1" x14ac:dyDescent="0.2">
      <c r="A1133" s="237" t="str">
        <f>name!E$6</f>
        <v>Associate professional occupations</v>
      </c>
      <c r="B1133" s="302">
        <v>14.35935500878521</v>
      </c>
      <c r="C1133" s="302">
        <v>10.989590799292339</v>
      </c>
      <c r="D1133" s="302">
        <v>3.7391700780444554</v>
      </c>
      <c r="E1133" s="302">
        <f t="shared" si="483"/>
        <v>29.088115886122004</v>
      </c>
      <c r="F1133" s="303"/>
      <c r="G1133" s="302">
        <v>15.932853493278536</v>
      </c>
      <c r="H1133" s="302">
        <v>13.140891390805161</v>
      </c>
      <c r="I1133" s="302">
        <v>2.916737053680543</v>
      </c>
      <c r="J1133" s="302">
        <f t="shared" si="484"/>
        <v>31.990481937764237</v>
      </c>
      <c r="K1133" s="303"/>
      <c r="L1133" s="302">
        <v>20.493904668969421</v>
      </c>
      <c r="M1133" s="302">
        <v>17.170983152468612</v>
      </c>
      <c r="N1133" s="302">
        <v>4.576491831869907</v>
      </c>
      <c r="O1133" s="302">
        <f t="shared" si="485"/>
        <v>42.241379653307938</v>
      </c>
    </row>
    <row r="1134" spans="1:15" s="236" customFormat="1" x14ac:dyDescent="0.2">
      <c r="A1134" s="237" t="str">
        <f>name!E$7</f>
        <v>Administrative and secretarial occupations</v>
      </c>
      <c r="B1134" s="302">
        <v>6.9828213479989163</v>
      </c>
      <c r="C1134" s="302">
        <v>10.268211650083046</v>
      </c>
      <c r="D1134" s="302">
        <v>0.74694610818446749</v>
      </c>
      <c r="E1134" s="302">
        <f t="shared" si="483"/>
        <v>17.997979106266428</v>
      </c>
      <c r="F1134" s="303"/>
      <c r="G1134" s="302">
        <v>6.5591977340287206</v>
      </c>
      <c r="H1134" s="302">
        <v>9.5120536148964696</v>
      </c>
      <c r="I1134" s="302">
        <v>0.4793372070015654</v>
      </c>
      <c r="J1134" s="302">
        <f t="shared" si="484"/>
        <v>16.550588555926758</v>
      </c>
      <c r="K1134" s="303"/>
      <c r="L1134" s="302">
        <v>6.1186086426278141</v>
      </c>
      <c r="M1134" s="302">
        <v>5.1394653891888886</v>
      </c>
      <c r="N1134" s="302">
        <v>0.42047409789326984</v>
      </c>
      <c r="O1134" s="302">
        <f t="shared" si="485"/>
        <v>11.678548129709972</v>
      </c>
    </row>
    <row r="1135" spans="1:15" s="236" customFormat="1" x14ac:dyDescent="0.2">
      <c r="A1135" s="237" t="str">
        <f>name!E$8</f>
        <v>Skilled trades occupations</v>
      </c>
      <c r="B1135" s="302">
        <v>1.008022570031361</v>
      </c>
      <c r="C1135" s="302">
        <v>1.1883671609192417</v>
      </c>
      <c r="D1135" s="302">
        <v>0.72535972134260651</v>
      </c>
      <c r="E1135" s="302">
        <f t="shared" si="483"/>
        <v>2.9217494522932093</v>
      </c>
      <c r="F1135" s="303"/>
      <c r="G1135" s="302">
        <v>0.75943335528666789</v>
      </c>
      <c r="H1135" s="302">
        <v>0.88120985827411313</v>
      </c>
      <c r="I1135" s="302">
        <v>0.84953864158557979</v>
      </c>
      <c r="J1135" s="302">
        <f>SUM(G1135:I1135)</f>
        <v>2.4901818551463606</v>
      </c>
      <c r="K1135" s="303"/>
      <c r="L1135" s="302">
        <v>0.59746623701405543</v>
      </c>
      <c r="M1135" s="302">
        <v>0.92415404038879967</v>
      </c>
      <c r="N1135" s="302">
        <v>1.0003449386315442</v>
      </c>
      <c r="O1135" s="302">
        <f t="shared" si="485"/>
        <v>2.521965216034399</v>
      </c>
    </row>
    <row r="1136" spans="1:15" s="236" customFormat="1" x14ac:dyDescent="0.2">
      <c r="A1136" s="237" t="str">
        <f>name!E$9</f>
        <v>Caring, leisure and other service occupations</v>
      </c>
      <c r="B1136" s="302">
        <v>31.637664546538371</v>
      </c>
      <c r="C1136" s="302">
        <v>37.983113975665482</v>
      </c>
      <c r="D1136" s="302">
        <v>6.9834359818052052</v>
      </c>
      <c r="E1136" s="302">
        <f t="shared" si="483"/>
        <v>76.60421450400905</v>
      </c>
      <c r="F1136" s="303"/>
      <c r="G1136" s="302">
        <v>31.899453064619948</v>
      </c>
      <c r="H1136" s="302">
        <v>37.834944018739002</v>
      </c>
      <c r="I1136" s="302">
        <v>6.0754555568435844</v>
      </c>
      <c r="J1136" s="302">
        <f t="shared" ref="J1136:J1139" si="486">SUM(G1136:I1136)</f>
        <v>75.809852640202521</v>
      </c>
      <c r="K1136" s="303"/>
      <c r="L1136" s="302">
        <v>42.565223021399262</v>
      </c>
      <c r="M1136" s="302">
        <v>50.942938989096319</v>
      </c>
      <c r="N1136" s="302">
        <v>9.1552851658050507</v>
      </c>
      <c r="O1136" s="302">
        <f t="shared" si="485"/>
        <v>102.66344717630064</v>
      </c>
    </row>
    <row r="1137" spans="1:15" s="236" customFormat="1" x14ac:dyDescent="0.2">
      <c r="A1137" s="237" t="str">
        <f>name!E$10</f>
        <v>Sales and customer service occupations</v>
      </c>
      <c r="B1137" s="302">
        <v>1.1341155022731737</v>
      </c>
      <c r="C1137" s="302">
        <v>1.3452329687382201</v>
      </c>
      <c r="D1137" s="302">
        <v>0.2996873359542977</v>
      </c>
      <c r="E1137" s="302">
        <f t="shared" si="483"/>
        <v>2.7790358069656915</v>
      </c>
      <c r="F1137" s="303"/>
      <c r="G1137" s="302">
        <v>1.0545733108371789</v>
      </c>
      <c r="H1137" s="302">
        <v>1.2549794462702839</v>
      </c>
      <c r="I1137" s="302">
        <v>0.20978644535692803</v>
      </c>
      <c r="J1137" s="302">
        <f t="shared" si="486"/>
        <v>2.519339202464391</v>
      </c>
      <c r="K1137" s="303"/>
      <c r="L1137" s="302">
        <v>1.3951087092556695</v>
      </c>
      <c r="M1137" s="302">
        <v>1.6615464747527875</v>
      </c>
      <c r="N1137" s="302">
        <v>0.30865309404585539</v>
      </c>
      <c r="O1137" s="302">
        <f t="shared" si="485"/>
        <v>3.3653082780543127</v>
      </c>
    </row>
    <row r="1138" spans="1:15" s="236" customFormat="1" x14ac:dyDescent="0.2">
      <c r="A1138" s="237" t="str">
        <f>name!E$11</f>
        <v>Process, plant and machine operatives</v>
      </c>
      <c r="B1138" s="302">
        <v>0.31664018625668167</v>
      </c>
      <c r="C1138" s="302">
        <v>1.0772011944509299</v>
      </c>
      <c r="D1138" s="302">
        <v>0.13873751714450358</v>
      </c>
      <c r="E1138" s="302">
        <f t="shared" si="483"/>
        <v>1.5325788978521151</v>
      </c>
      <c r="F1138" s="303"/>
      <c r="G1138" s="302">
        <v>0.23236180881275176</v>
      </c>
      <c r="H1138" s="302">
        <v>0.87269780702048483</v>
      </c>
      <c r="I1138" s="302">
        <v>0.17523898736221868</v>
      </c>
      <c r="J1138" s="302">
        <f t="shared" si="486"/>
        <v>1.2802986031954553</v>
      </c>
      <c r="K1138" s="303"/>
      <c r="L1138" s="302">
        <v>0.17228905523671162</v>
      </c>
      <c r="M1138" s="302">
        <v>1.0383270109573359</v>
      </c>
      <c r="N1138" s="302">
        <v>0.1755431758949022</v>
      </c>
      <c r="O1138" s="302">
        <f t="shared" si="485"/>
        <v>1.3861592420889497</v>
      </c>
    </row>
    <row r="1139" spans="1:15" s="236" customFormat="1" x14ac:dyDescent="0.2">
      <c r="A1139" s="237" t="str">
        <f>name!E$12</f>
        <v>Elementary occupations</v>
      </c>
      <c r="B1139" s="302">
        <v>1.6426983883928514</v>
      </c>
      <c r="C1139" s="302">
        <v>5.0533224555393783</v>
      </c>
      <c r="D1139" s="302">
        <v>0.33059773354333932</v>
      </c>
      <c r="E1139" s="302">
        <f t="shared" si="483"/>
        <v>7.0266185774755687</v>
      </c>
      <c r="F1139" s="303"/>
      <c r="G1139" s="302">
        <v>1.3515989958692316</v>
      </c>
      <c r="H1139" s="302">
        <v>3.7528635943627631</v>
      </c>
      <c r="I1139" s="302">
        <v>0.17041280188578345</v>
      </c>
      <c r="J1139" s="302">
        <f t="shared" si="486"/>
        <v>5.274875392117778</v>
      </c>
      <c r="K1139" s="303"/>
      <c r="L1139" s="302">
        <v>1.7008588554109942</v>
      </c>
      <c r="M1139" s="302">
        <v>1.8037257883134126</v>
      </c>
      <c r="N1139" s="302">
        <v>0.50607132249197151</v>
      </c>
      <c r="O1139" s="302">
        <f t="shared" si="485"/>
        <v>4.0106559662163779</v>
      </c>
    </row>
    <row r="1140" spans="1:15" s="236" customFormat="1" x14ac:dyDescent="0.2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2">
      <c r="A1141" s="244" t="s">
        <v>32</v>
      </c>
      <c r="B1141" s="311">
        <f>SUM(B1131:B1139)</f>
        <v>100.72700000002072</v>
      </c>
      <c r="C1141" s="311">
        <f t="shared" ref="C1141:E1141" si="487">SUM(C1131:C1139)</f>
        <v>91.417999998322614</v>
      </c>
      <c r="D1141" s="311">
        <f t="shared" si="487"/>
        <v>23.394999999372558</v>
      </c>
      <c r="E1141" s="311">
        <f t="shared" si="487"/>
        <v>215.53999999771591</v>
      </c>
      <c r="F1141" s="311"/>
      <c r="G1141" s="311">
        <f t="shared" ref="G1141:J1141" si="488">SUM(G1131:G1139)</f>
        <v>107.34499999895027</v>
      </c>
      <c r="H1141" s="311">
        <f t="shared" si="488"/>
        <v>96.139999998532147</v>
      </c>
      <c r="I1141" s="311">
        <f t="shared" si="488"/>
        <v>22.749000000936451</v>
      </c>
      <c r="J1141" s="311">
        <f t="shared" si="488"/>
        <v>226.23399999841882</v>
      </c>
      <c r="K1141" s="311"/>
      <c r="L1141" s="311">
        <f t="shared" ref="L1141:O1141" si="489">SUM(L1131:L1139)</f>
        <v>144.59199999888156</v>
      </c>
      <c r="M1141" s="311">
        <f t="shared" si="489"/>
        <v>122.11899999953444</v>
      </c>
      <c r="N1141" s="311">
        <f t="shared" si="489"/>
        <v>31.449000000494873</v>
      </c>
      <c r="O1141" s="311">
        <f t="shared" si="489"/>
        <v>298.15999999891091</v>
      </c>
    </row>
    <row r="1142" spans="1:15" s="236" customFormat="1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2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2">
      <c r="A1145" s="241" t="str">
        <f>name!A70</f>
        <v>Residential care</v>
      </c>
      <c r="B1145" s="374">
        <f>$B$6</f>
        <v>2015</v>
      </c>
      <c r="C1145" s="374"/>
      <c r="D1145" s="374"/>
      <c r="E1145" s="374"/>
      <c r="F1145" s="263"/>
      <c r="G1145" s="374">
        <f>$G$6</f>
        <v>2020</v>
      </c>
      <c r="H1145" s="374"/>
      <c r="I1145" s="374"/>
      <c r="J1145" s="374"/>
      <c r="K1145" s="263"/>
      <c r="L1145" s="374">
        <f>$L$6</f>
        <v>2035</v>
      </c>
      <c r="M1145" s="374"/>
      <c r="N1145" s="374"/>
      <c r="O1145" s="374"/>
    </row>
    <row r="1146" spans="1:15" s="236" customFormat="1" x14ac:dyDescent="0.2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2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2">
      <c r="A1148" s="237" t="str">
        <f>name!E$4</f>
        <v>Managers, directors and senior officials</v>
      </c>
      <c r="B1148" s="302">
        <v>2.067045626667007</v>
      </c>
      <c r="C1148" s="302">
        <v>1.0828438825548794</v>
      </c>
      <c r="D1148" s="302">
        <v>0.55568514563908022</v>
      </c>
      <c r="E1148" s="302">
        <f>SUM(B1148:D1148)</f>
        <v>3.7055746548609667</v>
      </c>
      <c r="F1148" s="303"/>
      <c r="G1148" s="302">
        <v>2.0183468384189527</v>
      </c>
      <c r="H1148" s="302">
        <v>1.0412304265998256</v>
      </c>
      <c r="I1148" s="302">
        <v>0.50435506383814543</v>
      </c>
      <c r="J1148" s="302">
        <f>SUM(G1148:I1148)</f>
        <v>3.5639323288569238</v>
      </c>
      <c r="K1148" s="303"/>
      <c r="L1148" s="302">
        <v>2.5854039195065144</v>
      </c>
      <c r="M1148" s="302">
        <v>1.2472463005342682</v>
      </c>
      <c r="N1148" s="302">
        <v>0.59239874249914715</v>
      </c>
      <c r="O1148" s="302">
        <f>SUM(L1148:N1148)</f>
        <v>4.4250489625399299</v>
      </c>
    </row>
    <row r="1149" spans="1:15" s="236" customFormat="1" x14ac:dyDescent="0.2">
      <c r="A1149" s="237" t="str">
        <f>name!E$5</f>
        <v>Professional occupations</v>
      </c>
      <c r="B1149" s="302">
        <v>14.012896315321525</v>
      </c>
      <c r="C1149" s="302">
        <v>8.943390444306683</v>
      </c>
      <c r="D1149" s="302">
        <v>3.1626853230091649</v>
      </c>
      <c r="E1149" s="302">
        <f t="shared" ref="E1149:E1156" si="490">SUM(B1149:D1149)</f>
        <v>26.11897208263737</v>
      </c>
      <c r="F1149" s="303"/>
      <c r="G1149" s="302">
        <v>14.852471244921134</v>
      </c>
      <c r="H1149" s="302">
        <v>7.7738164028287464</v>
      </c>
      <c r="I1149" s="302">
        <v>2.6580562336866516</v>
      </c>
      <c r="J1149" s="302">
        <f t="shared" ref="J1149:J1151" si="491">SUM(G1149:I1149)</f>
        <v>25.284343881436531</v>
      </c>
      <c r="K1149" s="303"/>
      <c r="L1149" s="302">
        <v>19.809209607755566</v>
      </c>
      <c r="M1149" s="302">
        <v>8.8555072496955702</v>
      </c>
      <c r="N1149" s="302">
        <v>3.0918451760437224</v>
      </c>
      <c r="O1149" s="302">
        <f t="shared" ref="O1149:O1156" si="492">SUM(L1149:N1149)</f>
        <v>31.756562033494859</v>
      </c>
    </row>
    <row r="1150" spans="1:15" s="236" customFormat="1" x14ac:dyDescent="0.2">
      <c r="A1150" s="237" t="str">
        <f>name!E$6</f>
        <v>Associate professional occupations</v>
      </c>
      <c r="B1150" s="302">
        <v>5.2795505035404036</v>
      </c>
      <c r="C1150" s="302">
        <v>4.7071527003948663</v>
      </c>
      <c r="D1150" s="302">
        <v>1.5434325114021563</v>
      </c>
      <c r="E1150" s="302">
        <f t="shared" si="490"/>
        <v>11.530135715337426</v>
      </c>
      <c r="F1150" s="303"/>
      <c r="G1150" s="302">
        <v>5.4300174997479091</v>
      </c>
      <c r="H1150" s="302">
        <v>4.0100796097496216</v>
      </c>
      <c r="I1150" s="302">
        <v>0.95544714133904174</v>
      </c>
      <c r="J1150" s="302">
        <f t="shared" si="491"/>
        <v>10.395544250836572</v>
      </c>
      <c r="K1150" s="303"/>
      <c r="L1150" s="302">
        <v>6.4857653021205461</v>
      </c>
      <c r="M1150" s="302">
        <v>3.959397049063679</v>
      </c>
      <c r="N1150" s="302">
        <v>1.2166739160735027</v>
      </c>
      <c r="O1150" s="302">
        <f t="shared" si="492"/>
        <v>11.661836267257728</v>
      </c>
    </row>
    <row r="1151" spans="1:15" s="236" customFormat="1" x14ac:dyDescent="0.2">
      <c r="A1151" s="237" t="str">
        <f>name!E$7</f>
        <v>Administrative and secretarial occupations</v>
      </c>
      <c r="B1151" s="302">
        <v>2.5342486802337811</v>
      </c>
      <c r="C1151" s="302">
        <v>4.3429227576287488</v>
      </c>
      <c r="D1151" s="302">
        <v>0.33190502204046846</v>
      </c>
      <c r="E1151" s="302">
        <f t="shared" si="490"/>
        <v>7.2090764599029988</v>
      </c>
      <c r="F1151" s="303"/>
      <c r="G1151" s="302">
        <v>2.2417462093561351</v>
      </c>
      <c r="H1151" s="302">
        <v>2.8617079832366308</v>
      </c>
      <c r="I1151" s="302">
        <v>0.15831993358405241</v>
      </c>
      <c r="J1151" s="302">
        <f t="shared" si="491"/>
        <v>5.2617741261768183</v>
      </c>
      <c r="K1151" s="303"/>
      <c r="L1151" s="302">
        <v>1.9496346037045691</v>
      </c>
      <c r="M1151" s="302">
        <v>1.1971851405108873</v>
      </c>
      <c r="N1151" s="302">
        <v>0.1029438508685673</v>
      </c>
      <c r="O1151" s="302">
        <f t="shared" si="492"/>
        <v>3.2497635950840236</v>
      </c>
    </row>
    <row r="1152" spans="1:15" s="236" customFormat="1" x14ac:dyDescent="0.2">
      <c r="A1152" s="237" t="str">
        <f>name!E$8</f>
        <v>Skilled trades occupations</v>
      </c>
      <c r="B1152" s="302">
        <v>0.38074663496146899</v>
      </c>
      <c r="C1152" s="302">
        <v>0.55886523823679657</v>
      </c>
      <c r="D1152" s="302">
        <v>0.19688863856704336</v>
      </c>
      <c r="E1152" s="302">
        <f t="shared" si="490"/>
        <v>1.1365005117653089</v>
      </c>
      <c r="F1152" s="303"/>
      <c r="G1152" s="302">
        <v>0.25704766456841549</v>
      </c>
      <c r="H1152" s="302">
        <v>0.28546159492878126</v>
      </c>
      <c r="I1152" s="302">
        <v>0.15816274439245037</v>
      </c>
      <c r="J1152" s="302">
        <f>SUM(G1152:I1152)</f>
        <v>0.70067200388964712</v>
      </c>
      <c r="K1152" s="303"/>
      <c r="L1152" s="302">
        <v>0.18011731871410946</v>
      </c>
      <c r="M1152" s="302">
        <v>0.23462468166186801</v>
      </c>
      <c r="N1152" s="302">
        <v>0.18113522322981829</v>
      </c>
      <c r="O1152" s="302">
        <f t="shared" si="492"/>
        <v>0.59587722360579576</v>
      </c>
    </row>
    <row r="1153" spans="1:15" s="236" customFormat="1" x14ac:dyDescent="0.2">
      <c r="A1153" s="237" t="str">
        <f>name!E$9</f>
        <v>Caring, leisure and other service occupations</v>
      </c>
      <c r="B1153" s="302">
        <v>11.413959953968162</v>
      </c>
      <c r="C1153" s="302">
        <v>15.852824428101473</v>
      </c>
      <c r="D1153" s="302">
        <v>3.2740959589906011</v>
      </c>
      <c r="E1153" s="302">
        <f t="shared" si="490"/>
        <v>30.540880341060234</v>
      </c>
      <c r="F1153" s="303"/>
      <c r="G1153" s="302">
        <v>10.920839164785288</v>
      </c>
      <c r="H1153" s="302">
        <v>11.295575115949944</v>
      </c>
      <c r="I1153" s="302">
        <v>2.3513743269400096</v>
      </c>
      <c r="J1153" s="302">
        <f t="shared" ref="J1153:J1156" si="493">SUM(G1153:I1153)</f>
        <v>24.567788607675244</v>
      </c>
      <c r="K1153" s="303"/>
      <c r="L1153" s="302">
        <v>13.726308658483546</v>
      </c>
      <c r="M1153" s="302">
        <v>11.523538156852892</v>
      </c>
      <c r="N1153" s="302">
        <v>2.6639211378015202</v>
      </c>
      <c r="O1153" s="302">
        <f t="shared" si="492"/>
        <v>27.91376795313796</v>
      </c>
    </row>
    <row r="1154" spans="1:15" s="236" customFormat="1" x14ac:dyDescent="0.2">
      <c r="A1154" s="237" t="str">
        <f>name!E$10</f>
        <v>Sales and customer service occupations</v>
      </c>
      <c r="B1154" s="302">
        <v>0.4143092528375355</v>
      </c>
      <c r="C1154" s="302">
        <v>0.594714732131848</v>
      </c>
      <c r="D1154" s="302">
        <v>0.1187050941458659</v>
      </c>
      <c r="E1154" s="302">
        <f t="shared" si="490"/>
        <v>1.1277290791152492</v>
      </c>
      <c r="F1154" s="303"/>
      <c r="G1154" s="302">
        <v>0.35996494238710341</v>
      </c>
      <c r="H1154" s="302">
        <v>0.38818807565289837</v>
      </c>
      <c r="I1154" s="302">
        <v>5.4594570876992092E-2</v>
      </c>
      <c r="J1154" s="302">
        <f t="shared" si="493"/>
        <v>0.80274758891699383</v>
      </c>
      <c r="K1154" s="303"/>
      <c r="L1154" s="302">
        <v>0.44404308300153972</v>
      </c>
      <c r="M1154" s="302">
        <v>0.39074575156275521</v>
      </c>
      <c r="N1154" s="302">
        <v>7.8479184301369395E-2</v>
      </c>
      <c r="O1154" s="302">
        <f t="shared" si="492"/>
        <v>0.91326801886566422</v>
      </c>
    </row>
    <row r="1155" spans="1:15" s="236" customFormat="1" x14ac:dyDescent="0.2">
      <c r="A1155" s="237" t="str">
        <f>name!E$11</f>
        <v>Process, plant and machine operatives</v>
      </c>
      <c r="B1155" s="302">
        <v>0.12031804841108042</v>
      </c>
      <c r="C1155" s="302">
        <v>0.56883708582841119</v>
      </c>
      <c r="D1155" s="302">
        <v>3.6549388436636861E-2</v>
      </c>
      <c r="E1155" s="302">
        <f t="shared" si="490"/>
        <v>0.72570452267612851</v>
      </c>
      <c r="F1155" s="303"/>
      <c r="G1155" s="302">
        <v>7.8443530221414051E-2</v>
      </c>
      <c r="H1155" s="302">
        <v>0.32319269438718645</v>
      </c>
      <c r="I1155" s="302">
        <v>3.0952819410707086E-2</v>
      </c>
      <c r="J1155" s="302">
        <f t="shared" si="493"/>
        <v>0.43258904401930759</v>
      </c>
      <c r="K1155" s="303"/>
      <c r="L1155" s="302">
        <v>5.0981525329041634E-2</v>
      </c>
      <c r="M1155" s="302">
        <v>0.297390186822726</v>
      </c>
      <c r="N1155" s="302">
        <v>3.2421634031926432E-2</v>
      </c>
      <c r="O1155" s="302">
        <f t="shared" si="492"/>
        <v>0.38079334618369409</v>
      </c>
    </row>
    <row r="1156" spans="1:15" s="236" customFormat="1" x14ac:dyDescent="0.2">
      <c r="A1156" s="237" t="str">
        <f>name!E$12</f>
        <v>Elementary occupations</v>
      </c>
      <c r="B1156" s="302">
        <v>0.60592498405714634</v>
      </c>
      <c r="C1156" s="302">
        <v>2.3434487301243356</v>
      </c>
      <c r="D1156" s="302">
        <v>0.14805291737581985</v>
      </c>
      <c r="E1156" s="302">
        <f t="shared" si="490"/>
        <v>3.097426631557302</v>
      </c>
      <c r="F1156" s="303"/>
      <c r="G1156" s="302">
        <v>0.4601229052389389</v>
      </c>
      <c r="H1156" s="302">
        <v>1.2157480962397225</v>
      </c>
      <c r="I1156" s="302">
        <v>5.473716630616475E-2</v>
      </c>
      <c r="J1156" s="302">
        <f t="shared" si="493"/>
        <v>1.730608167784826</v>
      </c>
      <c r="K1156" s="303"/>
      <c r="L1156" s="302">
        <v>0.5515359810594026</v>
      </c>
      <c r="M1156" s="302">
        <v>0.49336548319534018</v>
      </c>
      <c r="N1156" s="302">
        <v>0.14918113523358364</v>
      </c>
      <c r="O1156" s="302">
        <f t="shared" si="492"/>
        <v>1.1940825994883264</v>
      </c>
    </row>
    <row r="1157" spans="1:15" s="236" customFormat="1" x14ac:dyDescent="0.2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2">
      <c r="A1158" s="244" t="s">
        <v>32</v>
      </c>
      <c r="B1158" s="311">
        <f>SUM(B1148:B1156)</f>
        <v>36.828999999998103</v>
      </c>
      <c r="C1158" s="311">
        <f t="shared" ref="C1158:E1158" si="494">SUM(C1148:C1156)</f>
        <v>38.994999999308043</v>
      </c>
      <c r="D1158" s="311">
        <f t="shared" si="494"/>
        <v>9.3679999996068357</v>
      </c>
      <c r="E1158" s="311">
        <f t="shared" si="494"/>
        <v>85.191999998912976</v>
      </c>
      <c r="F1158" s="311"/>
      <c r="G1158" s="311">
        <f t="shared" ref="G1158:J1158" si="495">SUM(G1148:G1156)</f>
        <v>36.61899999964529</v>
      </c>
      <c r="H1158" s="311">
        <f t="shared" si="495"/>
        <v>29.194999999573358</v>
      </c>
      <c r="I1158" s="311">
        <f t="shared" si="495"/>
        <v>6.9260000003742146</v>
      </c>
      <c r="J1158" s="311">
        <f t="shared" si="495"/>
        <v>72.739999999592868</v>
      </c>
      <c r="K1158" s="311"/>
      <c r="L1158" s="311">
        <f t="shared" ref="L1158:O1158" si="496">SUM(L1148:L1156)</f>
        <v>45.782999999674843</v>
      </c>
      <c r="M1158" s="311">
        <f t="shared" si="496"/>
        <v>28.198999999899982</v>
      </c>
      <c r="N1158" s="311">
        <f t="shared" si="496"/>
        <v>8.1090000000831584</v>
      </c>
      <c r="O1158" s="311">
        <f t="shared" si="496"/>
        <v>82.090999999657981</v>
      </c>
    </row>
    <row r="1159" spans="1:15" s="236" customFormat="1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2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2">
      <c r="A1162" s="241" t="str">
        <f>name!A71</f>
        <v>Social work</v>
      </c>
      <c r="B1162" s="374">
        <f>$B$6</f>
        <v>2015</v>
      </c>
      <c r="C1162" s="374"/>
      <c r="D1162" s="374"/>
      <c r="E1162" s="374"/>
      <c r="F1162" s="263"/>
      <c r="G1162" s="374">
        <f>$G$6</f>
        <v>2020</v>
      </c>
      <c r="H1162" s="374"/>
      <c r="I1162" s="374"/>
      <c r="J1162" s="374"/>
      <c r="K1162" s="263"/>
      <c r="L1162" s="374">
        <f>$L$6</f>
        <v>2035</v>
      </c>
      <c r="M1162" s="374"/>
      <c r="N1162" s="374"/>
      <c r="O1162" s="374"/>
    </row>
    <row r="1163" spans="1:15" s="236" customFormat="1" x14ac:dyDescent="0.2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2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2">
      <c r="A1165" s="237" t="str">
        <f>name!E$4</f>
        <v>Managers, directors and senior officials</v>
      </c>
      <c r="B1165" s="302">
        <v>2.1132263560434819</v>
      </c>
      <c r="C1165" s="302">
        <v>1.1511193154770087</v>
      </c>
      <c r="D1165" s="302">
        <v>0.56796411495369925</v>
      </c>
      <c r="E1165" s="302">
        <f>SUM(B1165:D1165)</f>
        <v>3.8323097864741897</v>
      </c>
      <c r="F1165" s="303"/>
      <c r="G1165" s="302">
        <v>1.7766298749255867</v>
      </c>
      <c r="H1165" s="302">
        <v>1.2499639653139043</v>
      </c>
      <c r="I1165" s="302">
        <v>0.49710917373456381</v>
      </c>
      <c r="J1165" s="302">
        <f>SUM(G1165:I1165)</f>
        <v>3.5237030139740546</v>
      </c>
      <c r="K1165" s="303"/>
      <c r="L1165" s="302">
        <v>2.2990606633279596</v>
      </c>
      <c r="M1165" s="302">
        <v>1.4963685920098941</v>
      </c>
      <c r="N1165" s="302">
        <v>0.5827772661045425</v>
      </c>
      <c r="O1165" s="302">
        <f>SUM(L1165:N1165)</f>
        <v>4.3782065214423955</v>
      </c>
    </row>
    <row r="1166" spans="1:15" s="236" customFormat="1" x14ac:dyDescent="0.2">
      <c r="A1166" s="237" t="str">
        <f>name!E$5</f>
        <v>Professional occupations</v>
      </c>
      <c r="B1166" s="302">
        <v>14.574775843429215</v>
      </c>
      <c r="C1166" s="302">
        <v>10.164499479868192</v>
      </c>
      <c r="D1166" s="302">
        <v>3.2203398337749767</v>
      </c>
      <c r="E1166" s="302">
        <f t="shared" ref="E1166:E1173" si="497">SUM(B1166:D1166)</f>
        <v>27.959615157072381</v>
      </c>
      <c r="F1166" s="303"/>
      <c r="G1166" s="302">
        <v>13.133442612716589</v>
      </c>
      <c r="H1166" s="302">
        <v>9.7768477754117082</v>
      </c>
      <c r="I1166" s="302">
        <v>2.5961537215532697</v>
      </c>
      <c r="J1166" s="302">
        <f t="shared" ref="J1166:J1168" si="498">SUM(G1166:I1166)</f>
        <v>25.506444109681567</v>
      </c>
      <c r="K1166" s="303"/>
      <c r="L1166" s="302">
        <v>17.621256293538011</v>
      </c>
      <c r="M1166" s="302">
        <v>11.037005865967839</v>
      </c>
      <c r="N1166" s="302">
        <v>3.0163085641264855</v>
      </c>
      <c r="O1166" s="302">
        <f t="shared" ref="O1166:O1173" si="499">SUM(L1166:N1166)</f>
        <v>31.674570723632336</v>
      </c>
    </row>
    <row r="1167" spans="1:15" s="236" customFormat="1" x14ac:dyDescent="0.2">
      <c r="A1167" s="237" t="str">
        <f>name!E$6</f>
        <v>Associate professional occupations</v>
      </c>
      <c r="B1167" s="302">
        <v>5.5071568743371992</v>
      </c>
      <c r="C1167" s="302">
        <v>5.2904393825332638</v>
      </c>
      <c r="D1167" s="302">
        <v>1.5640284301620737</v>
      </c>
      <c r="E1167" s="302">
        <f t="shared" si="497"/>
        <v>12.361624687032537</v>
      </c>
      <c r="F1167" s="303"/>
      <c r="G1167" s="302">
        <v>4.8457908266624656</v>
      </c>
      <c r="H1167" s="302">
        <v>5.0155933587601309</v>
      </c>
      <c r="I1167" s="302">
        <v>0.92908347298984206</v>
      </c>
      <c r="J1167" s="302">
        <f t="shared" si="498"/>
        <v>10.790467658412439</v>
      </c>
      <c r="K1167" s="303"/>
      <c r="L1167" s="302">
        <v>5.860482194343275</v>
      </c>
      <c r="M1167" s="302">
        <v>4.9504550619640799</v>
      </c>
      <c r="N1167" s="302">
        <v>1.1835200835982131</v>
      </c>
      <c r="O1167" s="302">
        <f t="shared" si="499"/>
        <v>11.994457339905567</v>
      </c>
    </row>
    <row r="1168" spans="1:15" s="236" customFormat="1" x14ac:dyDescent="0.2">
      <c r="A1168" s="237" t="str">
        <f>name!E$7</f>
        <v>Administrative and secretarial occupations</v>
      </c>
      <c r="B1168" s="302">
        <v>2.7301141328122811</v>
      </c>
      <c r="C1168" s="302">
        <v>4.9387137027787711</v>
      </c>
      <c r="D1168" s="302">
        <v>0.33551823806091069</v>
      </c>
      <c r="E1168" s="302">
        <f t="shared" si="497"/>
        <v>8.0043460736519627</v>
      </c>
      <c r="F1168" s="303"/>
      <c r="G1168" s="302">
        <v>2.0516906722045132</v>
      </c>
      <c r="H1168" s="302">
        <v>3.6300996077197429</v>
      </c>
      <c r="I1168" s="302">
        <v>0.15391897025408371</v>
      </c>
      <c r="J1168" s="302">
        <f t="shared" si="498"/>
        <v>5.835709250178339</v>
      </c>
      <c r="K1168" s="303"/>
      <c r="L1168" s="302">
        <v>1.778492746462621</v>
      </c>
      <c r="M1168" s="302">
        <v>1.4831350776469554</v>
      </c>
      <c r="N1168" s="302">
        <v>0.10048858284083285</v>
      </c>
      <c r="O1168" s="302">
        <f t="shared" si="499"/>
        <v>3.3621164069504093</v>
      </c>
    </row>
    <row r="1169" spans="1:15" s="236" customFormat="1" x14ac:dyDescent="0.2">
      <c r="A1169" s="237" t="str">
        <f>name!E$8</f>
        <v>Skilled trades occupations</v>
      </c>
      <c r="B1169" s="302">
        <v>0.37070882943789185</v>
      </c>
      <c r="C1169" s="302">
        <v>0.57610171205262151</v>
      </c>
      <c r="D1169" s="302">
        <v>0.20306214750536311</v>
      </c>
      <c r="E1169" s="302">
        <f t="shared" si="497"/>
        <v>1.1498726889958766</v>
      </c>
      <c r="F1169" s="303"/>
      <c r="G1169" s="302">
        <v>0.2150755860016853</v>
      </c>
      <c r="H1169" s="302">
        <v>0.33651838371613935</v>
      </c>
      <c r="I1169" s="302">
        <v>0.15679245865345742</v>
      </c>
      <c r="J1169" s="302">
        <f>SUM(G1169:I1169)</f>
        <v>0.70838642837128218</v>
      </c>
      <c r="K1169" s="303"/>
      <c r="L1169" s="302">
        <v>0.15138216083659467</v>
      </c>
      <c r="M1169" s="302">
        <v>0.26894504142409653</v>
      </c>
      <c r="N1169" s="302">
        <v>0.17955614963069366</v>
      </c>
      <c r="O1169" s="302">
        <f t="shared" si="499"/>
        <v>0.59988335189138486</v>
      </c>
    </row>
    <row r="1170" spans="1:15" s="236" customFormat="1" x14ac:dyDescent="0.2">
      <c r="A1170" s="237" t="str">
        <f>name!E$9</f>
        <v>Caring, leisure and other service occupations</v>
      </c>
      <c r="B1170" s="302">
        <v>12.476583534221421</v>
      </c>
      <c r="C1170" s="302">
        <v>18.251697868273936</v>
      </c>
      <c r="D1170" s="302">
        <v>3.3042438439080453</v>
      </c>
      <c r="E1170" s="302">
        <f t="shared" si="497"/>
        <v>34.032525246403402</v>
      </c>
      <c r="F1170" s="303"/>
      <c r="G1170" s="302">
        <v>10.144151037919121</v>
      </c>
      <c r="H1170" s="302">
        <v>14.438062186687123</v>
      </c>
      <c r="I1170" s="302">
        <v>2.2774901471757718</v>
      </c>
      <c r="J1170" s="302">
        <f t="shared" ref="J1170:J1173" si="500">SUM(G1170:I1170)</f>
        <v>26.859703371782015</v>
      </c>
      <c r="K1170" s="303"/>
      <c r="L1170" s="302">
        <v>12.727130385536951</v>
      </c>
      <c r="M1170" s="302">
        <v>14.66102190028824</v>
      </c>
      <c r="N1170" s="302">
        <v>2.5822285111708387</v>
      </c>
      <c r="O1170" s="302">
        <f t="shared" si="499"/>
        <v>29.970380796996032</v>
      </c>
    </row>
    <row r="1171" spans="1:15" s="236" customFormat="1" x14ac:dyDescent="0.2">
      <c r="A1171" s="237" t="str">
        <f>name!E$10</f>
        <v>Sales and customer service occupations</v>
      </c>
      <c r="B1171" s="302">
        <v>0.43915910983178502</v>
      </c>
      <c r="C1171" s="302">
        <v>0.64909278493671008</v>
      </c>
      <c r="D1171" s="302">
        <v>0.12046200450178961</v>
      </c>
      <c r="E1171" s="302">
        <f t="shared" si="497"/>
        <v>1.2087138992702848</v>
      </c>
      <c r="F1171" s="303"/>
      <c r="G1171" s="302">
        <v>0.3257570027003604</v>
      </c>
      <c r="H1171" s="302">
        <v>0.47905509617099595</v>
      </c>
      <c r="I1171" s="302">
        <v>5.3440210492862614E-2</v>
      </c>
      <c r="J1171" s="302">
        <f t="shared" si="500"/>
        <v>0.85825230936421892</v>
      </c>
      <c r="K1171" s="303"/>
      <c r="L1171" s="302">
        <v>0.40444122570027463</v>
      </c>
      <c r="M1171" s="302">
        <v>0.47991701357893324</v>
      </c>
      <c r="N1171" s="302">
        <v>7.6482245665573267E-2</v>
      </c>
      <c r="O1171" s="302">
        <f t="shared" si="499"/>
        <v>0.96084048494478114</v>
      </c>
    </row>
    <row r="1172" spans="1:15" s="236" customFormat="1" x14ac:dyDescent="0.2">
      <c r="A1172" s="237" t="str">
        <f>name!E$11</f>
        <v>Process, plant and machine operatives</v>
      </c>
      <c r="B1172" s="302">
        <v>0.11532022053866052</v>
      </c>
      <c r="C1172" s="302">
        <v>0.52722523657438325</v>
      </c>
      <c r="D1172" s="302">
        <v>3.7753738388041913E-2</v>
      </c>
      <c r="E1172" s="302">
        <f t="shared" si="497"/>
        <v>0.68029919550108575</v>
      </c>
      <c r="F1172" s="303"/>
      <c r="G1172" s="302">
        <v>6.3970060782749735E-2</v>
      </c>
      <c r="H1172" s="302">
        <v>0.33370733692451265</v>
      </c>
      <c r="I1172" s="302">
        <v>3.0757985045582175E-2</v>
      </c>
      <c r="J1172" s="302">
        <f t="shared" si="500"/>
        <v>0.4284353827528446</v>
      </c>
      <c r="K1172" s="303"/>
      <c r="L1172" s="302">
        <v>4.1572289556465893E-2</v>
      </c>
      <c r="M1172" s="302">
        <v>0.30610704521531529</v>
      </c>
      <c r="N1172" s="302">
        <v>3.2102060580765639E-2</v>
      </c>
      <c r="O1172" s="302">
        <f t="shared" si="499"/>
        <v>0.37978139535254685</v>
      </c>
    </row>
    <row r="1173" spans="1:15" s="236" customFormat="1" x14ac:dyDescent="0.2">
      <c r="A1173" s="237" t="str">
        <f>name!E$12</f>
        <v>Elementary occupations</v>
      </c>
      <c r="B1173" s="302">
        <v>0.62695509937090865</v>
      </c>
      <c r="C1173" s="302">
        <v>2.4471105166997926</v>
      </c>
      <c r="D1173" s="302">
        <v>0.14962764835133005</v>
      </c>
      <c r="E1173" s="302">
        <f t="shared" si="497"/>
        <v>3.2236932644220313</v>
      </c>
      <c r="F1173" s="303"/>
      <c r="G1173" s="302">
        <v>0.406492325795063</v>
      </c>
      <c r="H1173" s="302">
        <v>1.4331522887357493</v>
      </c>
      <c r="I1173" s="302">
        <v>5.3253860462778947E-2</v>
      </c>
      <c r="J1173" s="302">
        <f t="shared" si="500"/>
        <v>1.8928984749935913</v>
      </c>
      <c r="K1173" s="303"/>
      <c r="L1173" s="302">
        <v>0.51518204044056892</v>
      </c>
      <c r="M1173" s="302">
        <v>0.52904440177129175</v>
      </c>
      <c r="N1173" s="302">
        <v>0.14453653636485408</v>
      </c>
      <c r="O1173" s="302">
        <f t="shared" si="499"/>
        <v>1.1887629785767146</v>
      </c>
    </row>
    <row r="1174" spans="1:15" s="236" customFormat="1" x14ac:dyDescent="0.2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2">
      <c r="A1175" s="244" t="s">
        <v>32</v>
      </c>
      <c r="B1175" s="311">
        <f>SUM(B1165:B1173)</f>
        <v>38.954000000022852</v>
      </c>
      <c r="C1175" s="311">
        <f t="shared" ref="C1175:E1175" si="501">SUM(C1165:C1173)</f>
        <v>43.99599999919468</v>
      </c>
      <c r="D1175" s="311">
        <f t="shared" si="501"/>
        <v>9.5029999996062315</v>
      </c>
      <c r="E1175" s="311">
        <f t="shared" si="501"/>
        <v>92.452999998823742</v>
      </c>
      <c r="F1175" s="311"/>
      <c r="G1175" s="311">
        <f t="shared" ref="G1175:J1175" si="502">SUM(G1165:G1173)</f>
        <v>32.962999999708138</v>
      </c>
      <c r="H1175" s="311">
        <f t="shared" si="502"/>
        <v>36.692999999440005</v>
      </c>
      <c r="I1175" s="311">
        <f t="shared" si="502"/>
        <v>6.7480000003622118</v>
      </c>
      <c r="J1175" s="311">
        <f t="shared" si="502"/>
        <v>76.403999999510347</v>
      </c>
      <c r="K1175" s="311"/>
      <c r="L1175" s="311">
        <f t="shared" ref="L1175:O1175" si="503">SUM(L1165:L1173)</f>
        <v>41.39899999974272</v>
      </c>
      <c r="M1175" s="311">
        <f t="shared" si="503"/>
        <v>35.211999999866649</v>
      </c>
      <c r="N1175" s="311">
        <f t="shared" si="503"/>
        <v>7.8980000000827992</v>
      </c>
      <c r="O1175" s="311">
        <f t="shared" si="503"/>
        <v>84.508999999692165</v>
      </c>
    </row>
    <row r="1176" spans="1:15" s="236" customFormat="1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2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2">
      <c r="A1179" s="241" t="str">
        <f>name!A72</f>
        <v>Arts and entertainment</v>
      </c>
      <c r="B1179" s="374">
        <f>$B$6</f>
        <v>2015</v>
      </c>
      <c r="C1179" s="374"/>
      <c r="D1179" s="374"/>
      <c r="E1179" s="374"/>
      <c r="F1179" s="263"/>
      <c r="G1179" s="374">
        <f>$G$6</f>
        <v>2020</v>
      </c>
      <c r="H1179" s="374"/>
      <c r="I1179" s="374"/>
      <c r="J1179" s="374"/>
      <c r="K1179" s="263"/>
      <c r="L1179" s="374">
        <f>$L$6</f>
        <v>2035</v>
      </c>
      <c r="M1179" s="374"/>
      <c r="N1179" s="374"/>
      <c r="O1179" s="374"/>
    </row>
    <row r="1180" spans="1:15" s="236" customFormat="1" x14ac:dyDescent="0.2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2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2">
      <c r="A1182" s="237" t="str">
        <f>name!E$4</f>
        <v>Managers, directors and senior officials</v>
      </c>
      <c r="B1182" s="302">
        <v>0.54562479938062147</v>
      </c>
      <c r="C1182" s="302">
        <v>6.4345720614982796E-2</v>
      </c>
      <c r="D1182" s="302">
        <v>0.44786044032161298</v>
      </c>
      <c r="E1182" s="302">
        <f>SUM(B1182:D1182)</f>
        <v>1.0578309603172174</v>
      </c>
      <c r="F1182" s="303"/>
      <c r="G1182" s="302">
        <v>0.51786578416847451</v>
      </c>
      <c r="H1182" s="302">
        <v>0.13905268519674713</v>
      </c>
      <c r="I1182" s="302">
        <v>0.56561093464398438</v>
      </c>
      <c r="J1182" s="302">
        <f>SUM(G1182:I1182)</f>
        <v>1.2225294040092061</v>
      </c>
      <c r="K1182" s="303"/>
      <c r="L1182" s="302">
        <v>0.7021966494150893</v>
      </c>
      <c r="M1182" s="302">
        <v>0.24602126068149152</v>
      </c>
      <c r="N1182" s="302">
        <v>0.8142215286035136</v>
      </c>
      <c r="O1182" s="302">
        <f>SUM(L1182:N1182)</f>
        <v>1.7624394387000946</v>
      </c>
    </row>
    <row r="1183" spans="1:15" s="236" customFormat="1" x14ac:dyDescent="0.2">
      <c r="A1183" s="237" t="str">
        <f>name!E$5</f>
        <v>Professional occupations</v>
      </c>
      <c r="B1183" s="302">
        <v>0.85624255702718144</v>
      </c>
      <c r="C1183" s="302">
        <v>0.17819541207144793</v>
      </c>
      <c r="D1183" s="302">
        <v>0.94643759193414478</v>
      </c>
      <c r="E1183" s="302">
        <f t="shared" ref="E1183:E1190" si="504">SUM(B1183:D1183)</f>
        <v>1.9808755610327742</v>
      </c>
      <c r="F1183" s="303"/>
      <c r="G1183" s="302">
        <v>0.88373530394014832</v>
      </c>
      <c r="H1183" s="302">
        <v>0.36387014987222482</v>
      </c>
      <c r="I1183" s="302">
        <v>1.0684482328257032</v>
      </c>
      <c r="J1183" s="302">
        <f t="shared" ref="J1183:J1185" si="505">SUM(G1183:I1183)</f>
        <v>2.3160536866380763</v>
      </c>
      <c r="K1183" s="303"/>
      <c r="L1183" s="302">
        <v>1.2316443271136026</v>
      </c>
      <c r="M1183" s="302">
        <v>0.61802849231338741</v>
      </c>
      <c r="N1183" s="302">
        <v>1.1293519291665119</v>
      </c>
      <c r="O1183" s="302">
        <f t="shared" ref="O1183:O1190" si="506">SUM(L1183:N1183)</f>
        <v>2.9790247485935017</v>
      </c>
    </row>
    <row r="1184" spans="1:15" s="236" customFormat="1" x14ac:dyDescent="0.2">
      <c r="A1184" s="237" t="str">
        <f>name!E$6</f>
        <v>Associate professional occupations</v>
      </c>
      <c r="B1184" s="302">
        <v>0.88052881882725365</v>
      </c>
      <c r="C1184" s="302">
        <v>0.35370641264356678</v>
      </c>
      <c r="D1184" s="302">
        <v>3.181252741266698</v>
      </c>
      <c r="E1184" s="302">
        <f t="shared" si="504"/>
        <v>4.4154879727375187</v>
      </c>
      <c r="F1184" s="303"/>
      <c r="G1184" s="302">
        <v>0.85992219351474886</v>
      </c>
      <c r="H1184" s="302">
        <v>0.58399232965563619</v>
      </c>
      <c r="I1184" s="302">
        <v>3.7350134316743184</v>
      </c>
      <c r="J1184" s="302">
        <f t="shared" si="505"/>
        <v>5.1789279548447036</v>
      </c>
      <c r="K1184" s="303"/>
      <c r="L1184" s="302">
        <v>1.0336373203576514</v>
      </c>
      <c r="M1184" s="302">
        <v>0.9272104577618514</v>
      </c>
      <c r="N1184" s="302">
        <v>4.6780429919531823</v>
      </c>
      <c r="O1184" s="302">
        <f t="shared" si="506"/>
        <v>6.6388907700726847</v>
      </c>
    </row>
    <row r="1185" spans="1:15" s="236" customFormat="1" x14ac:dyDescent="0.2">
      <c r="A1185" s="237" t="str">
        <f>name!E$7</f>
        <v>Administrative and secretarial occupations</v>
      </c>
      <c r="B1185" s="302">
        <v>0.53440959837955071</v>
      </c>
      <c r="C1185" s="302">
        <v>0.42369577702557315</v>
      </c>
      <c r="D1185" s="302">
        <v>9.3692295557435482E-2</v>
      </c>
      <c r="E1185" s="302">
        <f t="shared" si="504"/>
        <v>1.0517976709625594</v>
      </c>
      <c r="F1185" s="303"/>
      <c r="G1185" s="302">
        <v>0.37945898864808636</v>
      </c>
      <c r="H1185" s="302">
        <v>0.56799871205621733</v>
      </c>
      <c r="I1185" s="302">
        <v>9.6237703528823243E-2</v>
      </c>
      <c r="J1185" s="302">
        <f t="shared" si="505"/>
        <v>1.043695404233127</v>
      </c>
      <c r="K1185" s="303"/>
      <c r="L1185" s="302">
        <v>0.37822338999358729</v>
      </c>
      <c r="M1185" s="302">
        <v>0.60332708029524884</v>
      </c>
      <c r="N1185" s="302">
        <v>8.9830033988450506E-2</v>
      </c>
      <c r="O1185" s="302">
        <f t="shared" si="506"/>
        <v>1.0713805042772866</v>
      </c>
    </row>
    <row r="1186" spans="1:15" s="236" customFormat="1" x14ac:dyDescent="0.2">
      <c r="A1186" s="237" t="str">
        <f>name!E$8</f>
        <v>Skilled trades occupations</v>
      </c>
      <c r="B1186" s="302">
        <v>0.43150791978086322</v>
      </c>
      <c r="C1186" s="302">
        <v>5.4279094927856278E-2</v>
      </c>
      <c r="D1186" s="302">
        <v>0.54458741449754233</v>
      </c>
      <c r="E1186" s="302">
        <f t="shared" si="504"/>
        <v>1.0303744292062618</v>
      </c>
      <c r="F1186" s="303"/>
      <c r="G1186" s="302">
        <v>0.35516265437211536</v>
      </c>
      <c r="H1186" s="302">
        <v>7.9553244245465907E-2</v>
      </c>
      <c r="I1186" s="302">
        <v>0.5416349070082398</v>
      </c>
      <c r="J1186" s="302">
        <f>SUM(G1186:I1186)</f>
        <v>0.97635080562582099</v>
      </c>
      <c r="K1186" s="303"/>
      <c r="L1186" s="302">
        <v>0.35772670118228767</v>
      </c>
      <c r="M1186" s="302">
        <v>0.15075296227684248</v>
      </c>
      <c r="N1186" s="302">
        <v>0.70354683850108046</v>
      </c>
      <c r="O1186" s="302">
        <f t="shared" si="506"/>
        <v>1.2120265019602106</v>
      </c>
    </row>
    <row r="1187" spans="1:15" s="236" customFormat="1" x14ac:dyDescent="0.2">
      <c r="A1187" s="237" t="str">
        <f>name!E$9</f>
        <v>Caring, leisure and other service occupations</v>
      </c>
      <c r="B1187" s="302">
        <v>0.45876850251949353</v>
      </c>
      <c r="C1187" s="302">
        <v>0.30846860329819753</v>
      </c>
      <c r="D1187" s="302">
        <v>9.5567697279838396E-2</v>
      </c>
      <c r="E1187" s="302">
        <f t="shared" si="504"/>
        <v>0.86280480309752938</v>
      </c>
      <c r="F1187" s="303"/>
      <c r="G1187" s="302">
        <v>0.31937218236596382</v>
      </c>
      <c r="H1187" s="302">
        <v>0.41211919560149857</v>
      </c>
      <c r="I1187" s="302">
        <v>0.14000979284034007</v>
      </c>
      <c r="J1187" s="302">
        <f t="shared" ref="J1187:J1190" si="507">SUM(G1187:I1187)</f>
        <v>0.87150117080780243</v>
      </c>
      <c r="K1187" s="303"/>
      <c r="L1187" s="302">
        <v>0.36679417507935458</v>
      </c>
      <c r="M1187" s="302">
        <v>0.54734744495393239</v>
      </c>
      <c r="N1187" s="302">
        <v>0.18631556448235792</v>
      </c>
      <c r="O1187" s="302">
        <f t="shared" si="506"/>
        <v>1.100457184515645</v>
      </c>
    </row>
    <row r="1188" spans="1:15" s="236" customFormat="1" x14ac:dyDescent="0.2">
      <c r="A1188" s="237" t="str">
        <f>name!E$10</f>
        <v>Sales and customer service occupations</v>
      </c>
      <c r="B1188" s="302">
        <v>0.2225300327859972</v>
      </c>
      <c r="C1188" s="302">
        <v>0.11791867744059685</v>
      </c>
      <c r="D1188" s="302">
        <v>0.10153353951450514</v>
      </c>
      <c r="E1188" s="302">
        <f t="shared" si="504"/>
        <v>0.44198224974109923</v>
      </c>
      <c r="F1188" s="303"/>
      <c r="G1188" s="302">
        <v>0.16673731280705439</v>
      </c>
      <c r="H1188" s="302">
        <v>0.17819647110130774</v>
      </c>
      <c r="I1188" s="302">
        <v>8.9243216496307856E-2</v>
      </c>
      <c r="J1188" s="302">
        <f t="shared" si="507"/>
        <v>0.43417700040467</v>
      </c>
      <c r="K1188" s="303"/>
      <c r="L1188" s="302">
        <v>0.20274618753802703</v>
      </c>
      <c r="M1188" s="302">
        <v>0.22329489036079184</v>
      </c>
      <c r="N1188" s="302">
        <v>0.10064965789704013</v>
      </c>
      <c r="O1188" s="302">
        <f t="shared" si="506"/>
        <v>0.52669073579585901</v>
      </c>
    </row>
    <row r="1189" spans="1:15" s="236" customFormat="1" x14ac:dyDescent="0.2">
      <c r="A1189" s="237" t="str">
        <f>name!E$11</f>
        <v>Process, plant and machine operatives</v>
      </c>
      <c r="B1189" s="302">
        <v>6.6077403778036559E-2</v>
      </c>
      <c r="C1189" s="302">
        <v>1.5968162289124413E-2</v>
      </c>
      <c r="D1189" s="302">
        <v>2.3986664919674595E-2</v>
      </c>
      <c r="E1189" s="302">
        <f t="shared" si="504"/>
        <v>0.10603223098683556</v>
      </c>
      <c r="F1189" s="303"/>
      <c r="G1189" s="302">
        <v>4.8107217721717471E-2</v>
      </c>
      <c r="H1189" s="302">
        <v>2.5823551287446712E-2</v>
      </c>
      <c r="I1189" s="302">
        <v>2.6176309157806683E-2</v>
      </c>
      <c r="J1189" s="302">
        <f t="shared" si="507"/>
        <v>0.10010707816697086</v>
      </c>
      <c r="K1189" s="303"/>
      <c r="L1189" s="302">
        <v>5.4549370714047404E-2</v>
      </c>
      <c r="M1189" s="302">
        <v>6.0107579620013458E-2</v>
      </c>
      <c r="N1189" s="302">
        <v>3.4228259370768663E-2</v>
      </c>
      <c r="O1189" s="302">
        <f t="shared" si="506"/>
        <v>0.14888520970482955</v>
      </c>
    </row>
    <row r="1190" spans="1:15" s="236" customFormat="1" x14ac:dyDescent="0.2">
      <c r="A1190" s="237" t="str">
        <f>name!E$12</f>
        <v>Elementary occupations</v>
      </c>
      <c r="B1190" s="302">
        <v>0.23731036752983267</v>
      </c>
      <c r="C1190" s="302">
        <v>0.49642213968558541</v>
      </c>
      <c r="D1190" s="302">
        <v>5.8081614876696816E-2</v>
      </c>
      <c r="E1190" s="302">
        <f t="shared" si="504"/>
        <v>0.79181412209211488</v>
      </c>
      <c r="F1190" s="303"/>
      <c r="G1190" s="302">
        <v>0.17063836243550751</v>
      </c>
      <c r="H1190" s="302">
        <v>0.60939366099984205</v>
      </c>
      <c r="I1190" s="302">
        <v>4.8625471736716296E-2</v>
      </c>
      <c r="J1190" s="302">
        <f t="shared" si="507"/>
        <v>0.82865749517206577</v>
      </c>
      <c r="K1190" s="303"/>
      <c r="L1190" s="302">
        <v>0.16148187862121269</v>
      </c>
      <c r="M1190" s="302">
        <v>0.56690983173404741</v>
      </c>
      <c r="N1190" s="302">
        <v>6.0813196261924857E-2</v>
      </c>
      <c r="O1190" s="302">
        <f t="shared" si="506"/>
        <v>0.7892049066171849</v>
      </c>
    </row>
    <row r="1191" spans="1:15" s="236" customFormat="1" x14ac:dyDescent="0.2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2">
      <c r="A1192" s="244" t="s">
        <v>32</v>
      </c>
      <c r="B1192" s="311">
        <f>SUM(B1182:B1190)</f>
        <v>4.2330000000088308</v>
      </c>
      <c r="C1192" s="311">
        <f t="shared" ref="C1192:E1192" si="508">SUM(C1182:C1190)</f>
        <v>2.0129999999969312</v>
      </c>
      <c r="D1192" s="311">
        <f t="shared" si="508"/>
        <v>5.4930000001681476</v>
      </c>
      <c r="E1192" s="311">
        <f t="shared" si="508"/>
        <v>11.73900000017391</v>
      </c>
      <c r="F1192" s="311"/>
      <c r="G1192" s="311">
        <f t="shared" ref="G1192:J1192" si="509">SUM(G1182:G1190)</f>
        <v>3.7009999999738166</v>
      </c>
      <c r="H1192" s="311">
        <f t="shared" si="509"/>
        <v>2.960000000016386</v>
      </c>
      <c r="I1192" s="311">
        <f t="shared" si="509"/>
        <v>6.3109999999122399</v>
      </c>
      <c r="J1192" s="311">
        <f t="shared" si="509"/>
        <v>12.97199999990244</v>
      </c>
      <c r="K1192" s="311"/>
      <c r="L1192" s="311">
        <f t="shared" ref="L1192:O1192" si="510">SUM(L1182:L1190)</f>
        <v>4.48900000001486</v>
      </c>
      <c r="M1192" s="311">
        <f t="shared" si="510"/>
        <v>3.9429999999976069</v>
      </c>
      <c r="N1192" s="311">
        <f t="shared" si="510"/>
        <v>7.7970000002248296</v>
      </c>
      <c r="O1192" s="311">
        <f t="shared" si="510"/>
        <v>16.229000000237296</v>
      </c>
    </row>
    <row r="1193" spans="1:15" s="236" customFormat="1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2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2">
      <c r="A1196" s="241" t="str">
        <f>name!A73</f>
        <v>Libraries, etc</v>
      </c>
      <c r="B1196" s="374">
        <f>$B$6</f>
        <v>2015</v>
      </c>
      <c r="C1196" s="374"/>
      <c r="D1196" s="374"/>
      <c r="E1196" s="374"/>
      <c r="F1196" s="263"/>
      <c r="G1196" s="374">
        <f>$G$6</f>
        <v>2020</v>
      </c>
      <c r="H1196" s="374"/>
      <c r="I1196" s="374"/>
      <c r="J1196" s="374"/>
      <c r="K1196" s="263"/>
      <c r="L1196" s="374">
        <f>$L$6</f>
        <v>2035</v>
      </c>
      <c r="M1196" s="374"/>
      <c r="N1196" s="374"/>
      <c r="O1196" s="374"/>
    </row>
    <row r="1197" spans="1:15" s="236" customFormat="1" x14ac:dyDescent="0.2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2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2">
      <c r="A1199" s="237" t="str">
        <f>name!E$4</f>
        <v>Managers, directors and senior officials</v>
      </c>
      <c r="B1199" s="302">
        <v>0.66327361507010663</v>
      </c>
      <c r="C1199" s="302">
        <v>0.14867629157912443</v>
      </c>
      <c r="D1199" s="302">
        <v>0.79904546844962587</v>
      </c>
      <c r="E1199" s="302">
        <f>SUM(B1199:D1199)</f>
        <v>1.6109953750988568</v>
      </c>
      <c r="F1199" s="303"/>
      <c r="G1199" s="302">
        <v>0.53160073828868748</v>
      </c>
      <c r="H1199" s="302">
        <v>0.18056051979478566</v>
      </c>
      <c r="I1199" s="302">
        <v>0.64961979055837593</v>
      </c>
      <c r="J1199" s="302">
        <f>SUM(G1199:I1199)</f>
        <v>1.3617810486418489</v>
      </c>
      <c r="K1199" s="303"/>
      <c r="L1199" s="302">
        <v>0.72331143645563312</v>
      </c>
      <c r="M1199" s="302">
        <v>0.32243952890206479</v>
      </c>
      <c r="N1199" s="302">
        <v>0.91996829495408927</v>
      </c>
      <c r="O1199" s="302">
        <f>SUM(L1199:N1199)</f>
        <v>1.9657192603117872</v>
      </c>
    </row>
    <row r="1200" spans="1:15" s="236" customFormat="1" x14ac:dyDescent="0.2">
      <c r="A1200" s="237" t="str">
        <f>name!E$5</f>
        <v>Professional occupations</v>
      </c>
      <c r="B1200" s="302">
        <v>0.93265902616442742</v>
      </c>
      <c r="C1200" s="302">
        <v>0.40730297084277933</v>
      </c>
      <c r="D1200" s="302">
        <v>1.6938871724707401</v>
      </c>
      <c r="E1200" s="302">
        <f t="shared" ref="E1200:E1207" si="511">SUM(B1200:D1200)</f>
        <v>3.0338491694779468</v>
      </c>
      <c r="F1200" s="303"/>
      <c r="G1200" s="302">
        <v>0.80396044151550594</v>
      </c>
      <c r="H1200" s="302">
        <v>0.47233384743068657</v>
      </c>
      <c r="I1200" s="302">
        <v>1.2406948715680313</v>
      </c>
      <c r="J1200" s="302">
        <f t="shared" ref="J1200:J1202" si="512">SUM(G1200:I1200)</f>
        <v>2.5169891605142238</v>
      </c>
      <c r="K1200" s="303"/>
      <c r="L1200" s="302">
        <v>1.132144097959485</v>
      </c>
      <c r="M1200" s="302">
        <v>0.80461396352717784</v>
      </c>
      <c r="N1200" s="302">
        <v>1.3088441406215043</v>
      </c>
      <c r="O1200" s="302">
        <f t="shared" ref="O1200:O1207" si="513">SUM(L1200:N1200)</f>
        <v>3.2456022021081674</v>
      </c>
    </row>
    <row r="1201" spans="1:15" s="236" customFormat="1" x14ac:dyDescent="0.2">
      <c r="A1201" s="237" t="str">
        <f>name!E$6</f>
        <v>Associate professional occupations</v>
      </c>
      <c r="B1201" s="302">
        <v>1.0066745268740069</v>
      </c>
      <c r="C1201" s="302">
        <v>0.81099106309790292</v>
      </c>
      <c r="D1201" s="302">
        <v>5.6504259491354842</v>
      </c>
      <c r="E1201" s="302">
        <f t="shared" si="511"/>
        <v>7.4680915391073945</v>
      </c>
      <c r="F1201" s="303"/>
      <c r="G1201" s="302">
        <v>0.81861836914199348</v>
      </c>
      <c r="H1201" s="302">
        <v>0.75618154056403541</v>
      </c>
      <c r="I1201" s="302">
        <v>4.3099340538569884</v>
      </c>
      <c r="J1201" s="302">
        <f t="shared" si="512"/>
        <v>5.8847339635630167</v>
      </c>
      <c r="K1201" s="303"/>
      <c r="L1201" s="302">
        <v>0.99219409096202771</v>
      </c>
      <c r="M1201" s="302">
        <v>1.1785833727830308</v>
      </c>
      <c r="N1201" s="302">
        <v>5.3570982904307352</v>
      </c>
      <c r="O1201" s="302">
        <f t="shared" si="513"/>
        <v>7.5278757541757937</v>
      </c>
    </row>
    <row r="1202" spans="1:15" s="236" customFormat="1" x14ac:dyDescent="0.2">
      <c r="A1202" s="237" t="str">
        <f>name!E$7</f>
        <v>Administrative and secretarial occupations</v>
      </c>
      <c r="B1202" s="302">
        <v>0.54254335132853193</v>
      </c>
      <c r="C1202" s="302">
        <v>0.93999247839392863</v>
      </c>
      <c r="D1202" s="302">
        <v>0.16550890719978262</v>
      </c>
      <c r="E1202" s="302">
        <f t="shared" si="511"/>
        <v>1.6480447369222431</v>
      </c>
      <c r="F1202" s="303"/>
      <c r="G1202" s="302">
        <v>0.3252552070689485</v>
      </c>
      <c r="H1202" s="302">
        <v>0.70112099349088453</v>
      </c>
      <c r="I1202" s="302">
        <v>0.10956335262393116</v>
      </c>
      <c r="J1202" s="302">
        <f t="shared" si="512"/>
        <v>1.1359395531837644</v>
      </c>
      <c r="K1202" s="303"/>
      <c r="L1202" s="302">
        <v>0.34555168383085061</v>
      </c>
      <c r="M1202" s="302">
        <v>0.74237007169345892</v>
      </c>
      <c r="N1202" s="302">
        <v>0.10703522657857856</v>
      </c>
      <c r="O1202" s="302">
        <f t="shared" si="513"/>
        <v>1.194956982102888</v>
      </c>
    </row>
    <row r="1203" spans="1:15" s="236" customFormat="1" x14ac:dyDescent="0.2">
      <c r="A1203" s="237" t="str">
        <f>name!E$8</f>
        <v>Skilled trades occupations</v>
      </c>
      <c r="B1203" s="302">
        <v>0.59240725451222109</v>
      </c>
      <c r="C1203" s="302">
        <v>0.14070038577743629</v>
      </c>
      <c r="D1203" s="302">
        <v>0.98464030447783113</v>
      </c>
      <c r="E1203" s="302">
        <f t="shared" si="511"/>
        <v>1.7177479447674884</v>
      </c>
      <c r="F1203" s="303"/>
      <c r="G1203" s="302">
        <v>0.40201784308785937</v>
      </c>
      <c r="H1203" s="302">
        <v>0.1155257784219636</v>
      </c>
      <c r="I1203" s="302">
        <v>0.62890524598008302</v>
      </c>
      <c r="J1203" s="302">
        <f>SUM(G1203:I1203)</f>
        <v>1.146448867489906</v>
      </c>
      <c r="K1203" s="303"/>
      <c r="L1203" s="302">
        <v>0.40133722217800399</v>
      </c>
      <c r="M1203" s="302">
        <v>0.21265479818396324</v>
      </c>
      <c r="N1203" s="302">
        <v>0.80286626582084974</v>
      </c>
      <c r="O1203" s="302">
        <f t="shared" si="513"/>
        <v>1.416858286182817</v>
      </c>
    </row>
    <row r="1204" spans="1:15" s="236" customFormat="1" x14ac:dyDescent="0.2">
      <c r="A1204" s="237" t="str">
        <f>name!E$9</f>
        <v>Caring, leisure and other service occupations</v>
      </c>
      <c r="B1204" s="302">
        <v>0.49507026842991358</v>
      </c>
      <c r="C1204" s="302">
        <v>0.71271113570602906</v>
      </c>
      <c r="D1204" s="302">
        <v>0.16584564741633795</v>
      </c>
      <c r="E1204" s="302">
        <f t="shared" si="511"/>
        <v>1.3736270515522806</v>
      </c>
      <c r="F1204" s="303"/>
      <c r="G1204" s="302">
        <v>0.29711229350211921</v>
      </c>
      <c r="H1204" s="302">
        <v>0.53736986393040009</v>
      </c>
      <c r="I1204" s="302">
        <v>0.15771841015773794</v>
      </c>
      <c r="J1204" s="302">
        <f t="shared" ref="J1204:J1207" si="514">SUM(G1204:I1204)</f>
        <v>0.99220056759025721</v>
      </c>
      <c r="K1204" s="303"/>
      <c r="L1204" s="302">
        <v>0.35371590637848038</v>
      </c>
      <c r="M1204" s="302">
        <v>0.71520152263488446</v>
      </c>
      <c r="N1204" s="302">
        <v>0.20999052454442141</v>
      </c>
      <c r="O1204" s="302">
        <f t="shared" si="513"/>
        <v>1.2789079535577861</v>
      </c>
    </row>
    <row r="1205" spans="1:15" s="236" customFormat="1" x14ac:dyDescent="0.2">
      <c r="A1205" s="237" t="str">
        <f>name!E$10</f>
        <v>Sales and customer service occupations</v>
      </c>
      <c r="B1205" s="302">
        <v>0.24072252832808783</v>
      </c>
      <c r="C1205" s="302">
        <v>0.28210004656207011</v>
      </c>
      <c r="D1205" s="302">
        <v>0.17953774116622656</v>
      </c>
      <c r="E1205" s="302">
        <f t="shared" si="511"/>
        <v>0.70236031605638449</v>
      </c>
      <c r="F1205" s="303"/>
      <c r="G1205" s="302">
        <v>0.15414078579066987</v>
      </c>
      <c r="H1205" s="302">
        <v>0.24117427105098316</v>
      </c>
      <c r="I1205" s="302">
        <v>0.10322258004192253</v>
      </c>
      <c r="J1205" s="302">
        <f t="shared" si="514"/>
        <v>0.49853763688357555</v>
      </c>
      <c r="K1205" s="303"/>
      <c r="L1205" s="302">
        <v>0.20011781511382715</v>
      </c>
      <c r="M1205" s="302">
        <v>0.29593481335698857</v>
      </c>
      <c r="N1205" s="302">
        <v>0.11475833084157225</v>
      </c>
      <c r="O1205" s="302">
        <f t="shared" si="513"/>
        <v>0.61081095931238794</v>
      </c>
    </row>
    <row r="1206" spans="1:15" s="236" customFormat="1" x14ac:dyDescent="0.2">
      <c r="A1206" s="237" t="str">
        <f>name!E$11</f>
        <v>Process, plant and machine operatives</v>
      </c>
      <c r="B1206" s="302">
        <v>8.9749010012166716E-2</v>
      </c>
      <c r="C1206" s="302">
        <v>4.0759554258505477E-2</v>
      </c>
      <c r="D1206" s="302">
        <v>4.3477943109232954E-2</v>
      </c>
      <c r="E1206" s="302">
        <f t="shared" si="511"/>
        <v>0.17398650737990515</v>
      </c>
      <c r="F1206" s="303"/>
      <c r="G1206" s="302">
        <v>5.4204902581484714E-2</v>
      </c>
      <c r="H1206" s="302">
        <v>3.7589741734423102E-2</v>
      </c>
      <c r="I1206" s="302">
        <v>3.0669182165118457E-2</v>
      </c>
      <c r="J1206" s="302">
        <f t="shared" si="514"/>
        <v>0.12246382648102627</v>
      </c>
      <c r="K1206" s="303"/>
      <c r="L1206" s="302">
        <v>6.1181537349538601E-2</v>
      </c>
      <c r="M1206" s="302">
        <v>8.2694605315040207E-2</v>
      </c>
      <c r="N1206" s="302">
        <v>3.9999671778507884E-2</v>
      </c>
      <c r="O1206" s="302">
        <f t="shared" si="513"/>
        <v>0.1838758144430867</v>
      </c>
    </row>
    <row r="1207" spans="1:15" s="236" customFormat="1" x14ac:dyDescent="0.2">
      <c r="A1207" s="237" t="str">
        <f>name!E$12</f>
        <v>Elementary occupations</v>
      </c>
      <c r="B1207" s="302">
        <v>0.30290041928662897</v>
      </c>
      <c r="C1207" s="302">
        <v>1.1737660737769409</v>
      </c>
      <c r="D1207" s="302">
        <v>0.10163086687206398</v>
      </c>
      <c r="E1207" s="302">
        <f t="shared" si="511"/>
        <v>1.5782973599356338</v>
      </c>
      <c r="F1207" s="303"/>
      <c r="G1207" s="302">
        <v>0.18308941900149411</v>
      </c>
      <c r="H1207" s="302">
        <v>0.8141434436037478</v>
      </c>
      <c r="I1207" s="302">
        <v>5.5672512964852788E-2</v>
      </c>
      <c r="J1207" s="302">
        <f t="shared" si="514"/>
        <v>1.0529053755700948</v>
      </c>
      <c r="K1207" s="303"/>
      <c r="L1207" s="302">
        <v>0.17044620978154482</v>
      </c>
      <c r="M1207" s="302">
        <v>0.75850732360348005</v>
      </c>
      <c r="N1207" s="302">
        <v>6.9439254699158598E-2</v>
      </c>
      <c r="O1207" s="302">
        <f t="shared" si="513"/>
        <v>0.99839278808418341</v>
      </c>
    </row>
    <row r="1208" spans="1:15" s="236" customFormat="1" x14ac:dyDescent="0.2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2">
      <c r="A1209" s="244" t="s">
        <v>32</v>
      </c>
      <c r="B1209" s="311">
        <f>SUM(B1199:B1207)</f>
        <v>4.8660000000060908</v>
      </c>
      <c r="C1209" s="311">
        <f t="shared" ref="C1209:E1209" si="515">SUM(C1199:C1207)</f>
        <v>4.6569999999947171</v>
      </c>
      <c r="D1209" s="311">
        <f t="shared" si="515"/>
        <v>9.7840000002973273</v>
      </c>
      <c r="E1209" s="311">
        <f t="shared" si="515"/>
        <v>19.307000000298132</v>
      </c>
      <c r="F1209" s="311"/>
      <c r="G1209" s="311">
        <f t="shared" ref="G1209:J1209" si="516">SUM(G1199:G1207)</f>
        <v>3.5699999999787631</v>
      </c>
      <c r="H1209" s="311">
        <f t="shared" si="516"/>
        <v>3.8560000000219103</v>
      </c>
      <c r="I1209" s="311">
        <f t="shared" si="516"/>
        <v>7.2859999999170419</v>
      </c>
      <c r="J1209" s="311">
        <f t="shared" si="516"/>
        <v>14.711999999917715</v>
      </c>
      <c r="K1209" s="311"/>
      <c r="L1209" s="311">
        <f t="shared" ref="L1209:O1209" si="517">SUM(L1199:L1207)</f>
        <v>4.3800000000093915</v>
      </c>
      <c r="M1209" s="311">
        <f t="shared" si="517"/>
        <v>5.1130000000000884</v>
      </c>
      <c r="N1209" s="311">
        <f t="shared" si="517"/>
        <v>8.9300000002694198</v>
      </c>
      <c r="O1209" s="311">
        <f t="shared" si="517"/>
        <v>18.423000000278897</v>
      </c>
    </row>
    <row r="1210" spans="1:15" s="236" customFormat="1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2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2">
      <c r="A1213" s="241" t="str">
        <f>name!A74</f>
        <v>Gambling and betting</v>
      </c>
      <c r="B1213" s="374">
        <f>$B$6</f>
        <v>2015</v>
      </c>
      <c r="C1213" s="374"/>
      <c r="D1213" s="374"/>
      <c r="E1213" s="374"/>
      <c r="F1213" s="263"/>
      <c r="G1213" s="374">
        <f>$G$6</f>
        <v>2020</v>
      </c>
      <c r="H1213" s="374"/>
      <c r="I1213" s="374"/>
      <c r="J1213" s="374"/>
      <c r="K1213" s="263"/>
      <c r="L1213" s="374">
        <f>$L$6</f>
        <v>2035</v>
      </c>
      <c r="M1213" s="374"/>
      <c r="N1213" s="374"/>
      <c r="O1213" s="374"/>
    </row>
    <row r="1214" spans="1:15" s="236" customFormat="1" x14ac:dyDescent="0.2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2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2">
      <c r="A1216" s="237" t="str">
        <f>name!E$4</f>
        <v>Managers, directors and senior officials</v>
      </c>
      <c r="B1216" s="302">
        <v>0.36724832185831979</v>
      </c>
      <c r="C1216" s="302">
        <v>5.0002114412982433E-2</v>
      </c>
      <c r="D1216" s="302">
        <v>0.11771247343722353</v>
      </c>
      <c r="E1216" s="302">
        <f>SUM(B1216:D1216)</f>
        <v>0.53496290970852578</v>
      </c>
      <c r="F1216" s="303"/>
      <c r="G1216" s="302">
        <v>0.36302572026168844</v>
      </c>
      <c r="H1216" s="302">
        <v>6.870058643929039E-2</v>
      </c>
      <c r="I1216" s="302">
        <v>0.10066706426478601</v>
      </c>
      <c r="J1216" s="302">
        <f>SUM(G1216:I1216)</f>
        <v>0.53239337096576489</v>
      </c>
      <c r="K1216" s="303"/>
      <c r="L1216" s="302">
        <v>0.53395636343148523</v>
      </c>
      <c r="M1216" s="302">
        <v>0.14585926894383003</v>
      </c>
      <c r="N1216" s="302">
        <v>0.16292386850695725</v>
      </c>
      <c r="O1216" s="302">
        <f>SUM(L1216:N1216)</f>
        <v>0.84273950088227256</v>
      </c>
    </row>
    <row r="1217" spans="1:15" s="236" customFormat="1" x14ac:dyDescent="0.2">
      <c r="A1217" s="237" t="str">
        <f>name!E$5</f>
        <v>Professional occupations</v>
      </c>
      <c r="B1217" s="302">
        <v>0.4578927702086168</v>
      </c>
      <c r="C1217" s="302">
        <v>0.12337343548906948</v>
      </c>
      <c r="D1217" s="302">
        <v>0.24867057126552491</v>
      </c>
      <c r="E1217" s="302">
        <f t="shared" ref="E1217:E1224" si="518">SUM(B1217:D1217)</f>
        <v>0.82993677696321122</v>
      </c>
      <c r="F1217" s="303"/>
      <c r="G1217" s="302">
        <v>0.45581929814139593</v>
      </c>
      <c r="H1217" s="302">
        <v>0.17932352097134138</v>
      </c>
      <c r="I1217" s="302">
        <v>0.19764053436854112</v>
      </c>
      <c r="J1217" s="302">
        <f t="shared" ref="J1217:J1219" si="519">SUM(G1217:I1217)</f>
        <v>0.83278335348127841</v>
      </c>
      <c r="K1217" s="303"/>
      <c r="L1217" s="302">
        <v>0.70404901595625147</v>
      </c>
      <c r="M1217" s="302">
        <v>0.34599031536399893</v>
      </c>
      <c r="N1217" s="302">
        <v>0.26492543628718013</v>
      </c>
      <c r="O1217" s="302">
        <f t="shared" ref="O1217:O1224" si="520">SUM(L1217:N1217)</f>
        <v>1.3149647676074303</v>
      </c>
    </row>
    <row r="1218" spans="1:15" s="236" customFormat="1" x14ac:dyDescent="0.2">
      <c r="A1218" s="237" t="str">
        <f>name!E$6</f>
        <v>Associate professional occupations</v>
      </c>
      <c r="B1218" s="302">
        <v>0.52293299191482234</v>
      </c>
      <c r="C1218" s="302">
        <v>0.25347542896112457</v>
      </c>
      <c r="D1218" s="302">
        <v>0.83654122172503154</v>
      </c>
      <c r="E1218" s="302">
        <f t="shared" si="518"/>
        <v>1.6129496426009786</v>
      </c>
      <c r="F1218" s="303"/>
      <c r="G1218" s="302">
        <v>0.50113752920956434</v>
      </c>
      <c r="H1218" s="302">
        <v>0.28224384717792328</v>
      </c>
      <c r="I1218" s="302">
        <v>0.67588467142304243</v>
      </c>
      <c r="J1218" s="302">
        <f t="shared" si="519"/>
        <v>1.4592660478105302</v>
      </c>
      <c r="K1218" s="303"/>
      <c r="L1218" s="302">
        <v>0.66248614302419084</v>
      </c>
      <c r="M1218" s="302">
        <v>0.41077274807265352</v>
      </c>
      <c r="N1218" s="302">
        <v>1.0209090531437566</v>
      </c>
      <c r="O1218" s="302">
        <f t="shared" si="520"/>
        <v>2.0941679442406009</v>
      </c>
    </row>
    <row r="1219" spans="1:15" s="236" customFormat="1" x14ac:dyDescent="0.2">
      <c r="A1219" s="237" t="str">
        <f>name!E$7</f>
        <v>Administrative and secretarial occupations</v>
      </c>
      <c r="B1219" s="302">
        <v>0.24249049767856973</v>
      </c>
      <c r="C1219" s="302">
        <v>0.1964241751995823</v>
      </c>
      <c r="D1219" s="302">
        <v>2.4651662686045694E-2</v>
      </c>
      <c r="E1219" s="302">
        <f t="shared" si="518"/>
        <v>0.46356633556419768</v>
      </c>
      <c r="F1219" s="303"/>
      <c r="G1219" s="302">
        <v>0.16408216285348967</v>
      </c>
      <c r="H1219" s="302">
        <v>0.17340472475241375</v>
      </c>
      <c r="I1219" s="302">
        <v>1.659397302751708E-2</v>
      </c>
      <c r="J1219" s="302">
        <f t="shared" si="519"/>
        <v>0.35408086063342048</v>
      </c>
      <c r="K1219" s="303"/>
      <c r="L1219" s="302">
        <v>0.21260119270251659</v>
      </c>
      <c r="M1219" s="302">
        <v>0.17427541270750527</v>
      </c>
      <c r="N1219" s="302">
        <v>2.4547307517367625E-2</v>
      </c>
      <c r="O1219" s="302">
        <f t="shared" si="520"/>
        <v>0.4114239129273895</v>
      </c>
    </row>
    <row r="1220" spans="1:15" s="236" customFormat="1" x14ac:dyDescent="0.2">
      <c r="A1220" s="237" t="str">
        <f>name!E$8</f>
        <v>Skilled trades occupations</v>
      </c>
      <c r="B1220" s="302">
        <v>0.36470251606952941</v>
      </c>
      <c r="C1220" s="302">
        <v>9.4241885875225709E-2</v>
      </c>
      <c r="D1220" s="302">
        <v>0.14292858144646794</v>
      </c>
      <c r="E1220" s="302">
        <f t="shared" si="518"/>
        <v>0.60187298339122308</v>
      </c>
      <c r="F1220" s="303"/>
      <c r="G1220" s="302">
        <v>0.30833772614375277</v>
      </c>
      <c r="H1220" s="302">
        <v>7.528885113442467E-2</v>
      </c>
      <c r="I1220" s="302">
        <v>0.10016479180137318</v>
      </c>
      <c r="J1220" s="302">
        <f>SUM(G1220:I1220)</f>
        <v>0.48379136907955061</v>
      </c>
      <c r="K1220" s="303"/>
      <c r="L1220" s="302">
        <v>0.32796472018208211</v>
      </c>
      <c r="M1220" s="302">
        <v>0.14655540681168785</v>
      </c>
      <c r="N1220" s="302">
        <v>0.1502081310406011</v>
      </c>
      <c r="O1220" s="302">
        <f t="shared" si="520"/>
        <v>0.62472825803437115</v>
      </c>
    </row>
    <row r="1221" spans="1:15" s="236" customFormat="1" x14ac:dyDescent="0.2">
      <c r="A1221" s="237" t="str">
        <f>name!E$9</f>
        <v>Caring, leisure and other service occupations</v>
      </c>
      <c r="B1221" s="302">
        <v>0.24025570818697256</v>
      </c>
      <c r="C1221" s="302">
        <v>0.23959755910148928</v>
      </c>
      <c r="D1221" s="302">
        <v>2.5192404159637676E-2</v>
      </c>
      <c r="E1221" s="302">
        <f t="shared" si="518"/>
        <v>0.50504567144809953</v>
      </c>
      <c r="F1221" s="303"/>
      <c r="G1221" s="302">
        <v>0.17514695464424959</v>
      </c>
      <c r="H1221" s="302">
        <v>0.21017981818811379</v>
      </c>
      <c r="I1221" s="302">
        <v>2.3215488028681303E-2</v>
      </c>
      <c r="J1221" s="302">
        <f t="shared" ref="J1221:J1224" si="521">SUM(G1221:I1221)</f>
        <v>0.40854226086104467</v>
      </c>
      <c r="K1221" s="303"/>
      <c r="L1221" s="302">
        <v>0.23786092187837024</v>
      </c>
      <c r="M1221" s="302">
        <v>0.31631078463351214</v>
      </c>
      <c r="N1221" s="302">
        <v>3.6661018847846387E-2</v>
      </c>
      <c r="O1221" s="302">
        <f t="shared" si="520"/>
        <v>0.59083272535972875</v>
      </c>
    </row>
    <row r="1222" spans="1:15" s="236" customFormat="1" x14ac:dyDescent="0.2">
      <c r="A1222" s="237" t="str">
        <f>name!E$10</f>
        <v>Sales and customer service occupations</v>
      </c>
      <c r="B1222" s="302">
        <v>0.11717743868260813</v>
      </c>
      <c r="C1222" s="302">
        <v>0.1244662552438823</v>
      </c>
      <c r="D1222" s="302">
        <v>2.6711980646412982E-2</v>
      </c>
      <c r="E1222" s="302">
        <f t="shared" si="518"/>
        <v>0.26835567457290344</v>
      </c>
      <c r="F1222" s="303"/>
      <c r="G1222" s="302">
        <v>8.9894034075527596E-2</v>
      </c>
      <c r="H1222" s="302">
        <v>0.11684228706502302</v>
      </c>
      <c r="I1222" s="302">
        <v>1.6283134557256287E-2</v>
      </c>
      <c r="J1222" s="302">
        <f t="shared" si="521"/>
        <v>0.2230194556978069</v>
      </c>
      <c r="K1222" s="303"/>
      <c r="L1222" s="302">
        <v>0.13931248744373859</v>
      </c>
      <c r="M1222" s="302">
        <v>0.14482896497860873</v>
      </c>
      <c r="N1222" s="302">
        <v>2.1370160159572799E-2</v>
      </c>
      <c r="O1222" s="302">
        <f t="shared" si="520"/>
        <v>0.30551161258192017</v>
      </c>
    </row>
    <row r="1223" spans="1:15" s="236" customFormat="1" x14ac:dyDescent="0.2">
      <c r="A1223" s="237" t="str">
        <f>name!E$11</f>
        <v>Process, plant and machine operatives</v>
      </c>
      <c r="B1223" s="302">
        <v>5.478895042751912E-2</v>
      </c>
      <c r="C1223" s="302">
        <v>2.5569933960918462E-2</v>
      </c>
      <c r="D1223" s="302">
        <v>6.2936406915882056E-3</v>
      </c>
      <c r="E1223" s="302">
        <f t="shared" si="518"/>
        <v>8.6652525080025786E-2</v>
      </c>
      <c r="F1223" s="303"/>
      <c r="G1223" s="302">
        <v>4.1369990248625671E-2</v>
      </c>
      <c r="H1223" s="302">
        <v>2.4701994014556888E-2</v>
      </c>
      <c r="I1223" s="302">
        <v>4.9926868019713588E-3</v>
      </c>
      <c r="J1223" s="302">
        <f t="shared" si="521"/>
        <v>7.106467106515392E-2</v>
      </c>
      <c r="K1223" s="303"/>
      <c r="L1223" s="302">
        <v>4.9980420133337908E-2</v>
      </c>
      <c r="M1223" s="302">
        <v>5.0491047096669094E-2</v>
      </c>
      <c r="N1223" s="302">
        <v>8.422577471690694E-3</v>
      </c>
      <c r="O1223" s="302">
        <f t="shared" si="520"/>
        <v>0.1088940447016977</v>
      </c>
    </row>
    <row r="1224" spans="1:15" s="236" customFormat="1" x14ac:dyDescent="0.2">
      <c r="A1224" s="237" t="str">
        <f>name!E$12</f>
        <v>Elementary occupations</v>
      </c>
      <c r="B1224" s="302">
        <v>0.1755108049739012</v>
      </c>
      <c r="C1224" s="302">
        <v>0.47684921175949496</v>
      </c>
      <c r="D1224" s="302">
        <v>1.5297463986305451E-2</v>
      </c>
      <c r="E1224" s="302">
        <f t="shared" si="518"/>
        <v>0.66765748071970166</v>
      </c>
      <c r="F1224" s="303"/>
      <c r="G1224" s="302">
        <v>0.13218658441229697</v>
      </c>
      <c r="H1224" s="302">
        <v>0.36831437026686986</v>
      </c>
      <c r="I1224" s="302">
        <v>8.5576557210538234E-3</v>
      </c>
      <c r="J1224" s="302">
        <f t="shared" si="521"/>
        <v>0.5090586104002206</v>
      </c>
      <c r="K1224" s="303"/>
      <c r="L1224" s="302">
        <v>0.12978873524925413</v>
      </c>
      <c r="M1224" s="302">
        <v>0.39491605140236724</v>
      </c>
      <c r="N1224" s="302">
        <v>1.3032447088268877E-2</v>
      </c>
      <c r="O1224" s="302">
        <f t="shared" si="520"/>
        <v>0.53773723373989024</v>
      </c>
    </row>
    <row r="1225" spans="1:15" s="236" customFormat="1" x14ac:dyDescent="0.2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2">
      <c r="A1226" s="244" t="s">
        <v>32</v>
      </c>
      <c r="B1226" s="311">
        <f>SUM(B1216:B1224)</f>
        <v>2.5430000000008595</v>
      </c>
      <c r="C1226" s="311">
        <f t="shared" ref="C1226:E1226" si="522">SUM(C1216:C1224)</f>
        <v>1.5840000000037695</v>
      </c>
      <c r="D1226" s="311">
        <f t="shared" si="522"/>
        <v>1.4440000000442379</v>
      </c>
      <c r="E1226" s="311">
        <f t="shared" si="522"/>
        <v>5.5710000000488673</v>
      </c>
      <c r="F1226" s="311"/>
      <c r="G1226" s="311">
        <f t="shared" ref="G1226:J1226" si="523">SUM(G1216:G1224)</f>
        <v>2.2309999999905914</v>
      </c>
      <c r="H1226" s="311">
        <f t="shared" si="523"/>
        <v>1.499000000009957</v>
      </c>
      <c r="I1226" s="311">
        <f t="shared" si="523"/>
        <v>1.1439999999942225</v>
      </c>
      <c r="J1226" s="311">
        <f t="shared" si="523"/>
        <v>4.8739999999947718</v>
      </c>
      <c r="K1226" s="311"/>
      <c r="L1226" s="311">
        <f t="shared" ref="L1226:O1226" si="524">SUM(L1216:L1224)</f>
        <v>2.9980000000012268</v>
      </c>
      <c r="M1226" s="311">
        <f t="shared" si="524"/>
        <v>2.1300000000108326</v>
      </c>
      <c r="N1226" s="311">
        <f t="shared" si="524"/>
        <v>1.7030000000632415</v>
      </c>
      <c r="O1226" s="311">
        <f t="shared" si="524"/>
        <v>6.8310000000753011</v>
      </c>
    </row>
    <row r="1227" spans="1:15" s="236" customFormat="1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2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2">
      <c r="A1230" s="241" t="str">
        <f>name!A75</f>
        <v>Sport and recreation</v>
      </c>
      <c r="B1230" s="374">
        <f>$B$6</f>
        <v>2015</v>
      </c>
      <c r="C1230" s="374"/>
      <c r="D1230" s="374"/>
      <c r="E1230" s="374"/>
      <c r="F1230" s="263"/>
      <c r="G1230" s="374">
        <f>$G$6</f>
        <v>2020</v>
      </c>
      <c r="H1230" s="374"/>
      <c r="I1230" s="374"/>
      <c r="J1230" s="374"/>
      <c r="K1230" s="263"/>
      <c r="L1230" s="374">
        <f>$L$6</f>
        <v>2035</v>
      </c>
      <c r="M1230" s="374"/>
      <c r="N1230" s="374"/>
      <c r="O1230" s="374"/>
    </row>
    <row r="1231" spans="1:15" s="236" customFormat="1" x14ac:dyDescent="0.2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2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2">
      <c r="A1233" s="237" t="str">
        <f>name!E$4</f>
        <v>Managers, directors and senior officials</v>
      </c>
      <c r="B1233" s="302">
        <v>1.6651385140067765</v>
      </c>
      <c r="C1233" s="302">
        <v>0.65159193246468605</v>
      </c>
      <c r="D1233" s="302">
        <v>1.1728278951928719</v>
      </c>
      <c r="E1233" s="302">
        <f>SUM(B1233:D1233)</f>
        <v>3.4895583416643348</v>
      </c>
      <c r="F1233" s="303"/>
      <c r="G1233" s="302">
        <v>2.1248487259196294</v>
      </c>
      <c r="H1233" s="302">
        <v>1.0146334202452192</v>
      </c>
      <c r="I1233" s="302">
        <v>1.1959025824789984</v>
      </c>
      <c r="J1233" s="302">
        <f>SUM(G1233:I1233)</f>
        <v>4.3353847286438469</v>
      </c>
      <c r="K1233" s="303"/>
      <c r="L1233" s="302">
        <v>3.082852645762264</v>
      </c>
      <c r="M1233" s="302">
        <v>1.9968756533290255</v>
      </c>
      <c r="N1233" s="302">
        <v>2.0133971109444349</v>
      </c>
      <c r="O1233" s="302">
        <f>SUM(L1233:N1233)</f>
        <v>7.0931254100357251</v>
      </c>
    </row>
    <row r="1234" spans="1:15" s="236" customFormat="1" x14ac:dyDescent="0.2">
      <c r="A1234" s="237" t="str">
        <f>name!E$5</f>
        <v>Professional occupations</v>
      </c>
      <c r="B1234" s="302">
        <v>2.4161274348325414</v>
      </c>
      <c r="C1234" s="302">
        <v>1.7055881665206647</v>
      </c>
      <c r="D1234" s="302">
        <v>2.1430686527342977</v>
      </c>
      <c r="E1234" s="302">
        <f t="shared" ref="E1234:E1241" si="525">SUM(B1234:D1234)</f>
        <v>6.2647842540875036</v>
      </c>
      <c r="F1234" s="303"/>
      <c r="G1234" s="302">
        <v>3.0735672860295433</v>
      </c>
      <c r="H1234" s="302">
        <v>2.6495874794149357</v>
      </c>
      <c r="I1234" s="302">
        <v>2.0481012025387733</v>
      </c>
      <c r="J1234" s="302">
        <f t="shared" ref="J1234:J1236" si="526">SUM(G1234:I1234)</f>
        <v>7.7712559679832518</v>
      </c>
      <c r="K1234" s="303"/>
      <c r="L1234" s="302">
        <v>4.6050991441122227</v>
      </c>
      <c r="M1234" s="302">
        <v>4.8751036083766017</v>
      </c>
      <c r="N1234" s="302">
        <v>2.7251481603134882</v>
      </c>
      <c r="O1234" s="302">
        <f t="shared" ref="O1234:O1241" si="527">SUM(L1234:N1234)</f>
        <v>12.205350912802313</v>
      </c>
    </row>
    <row r="1235" spans="1:15" s="236" customFormat="1" x14ac:dyDescent="0.2">
      <c r="A1235" s="237" t="str">
        <f>name!E$6</f>
        <v>Associate professional occupations</v>
      </c>
      <c r="B1235" s="302">
        <v>2.5112974383883779</v>
      </c>
      <c r="C1235" s="302">
        <v>3.3944483284269698</v>
      </c>
      <c r="D1235" s="302">
        <v>7.1205177992797131</v>
      </c>
      <c r="E1235" s="302">
        <f t="shared" si="525"/>
        <v>13.026263566095061</v>
      </c>
      <c r="F1235" s="303"/>
      <c r="G1235" s="302">
        <v>3.0971297482372995</v>
      </c>
      <c r="H1235" s="302">
        <v>4.1711287622063375</v>
      </c>
      <c r="I1235" s="302">
        <v>6.883706342619428</v>
      </c>
      <c r="J1235" s="302">
        <f t="shared" si="526"/>
        <v>14.151964853063065</v>
      </c>
      <c r="K1235" s="303"/>
      <c r="L1235" s="302">
        <v>3.9001412484762827</v>
      </c>
      <c r="M1235" s="302">
        <v>6.5425446058337604</v>
      </c>
      <c r="N1235" s="302">
        <v>10.363714148380273</v>
      </c>
      <c r="O1235" s="302">
        <f t="shared" si="527"/>
        <v>20.806400002690317</v>
      </c>
    </row>
    <row r="1236" spans="1:15" s="236" customFormat="1" x14ac:dyDescent="0.2">
      <c r="A1236" s="237" t="str">
        <f>name!E$7</f>
        <v>Administrative and secretarial occupations</v>
      </c>
      <c r="B1236" s="302">
        <v>1.4426623991202976</v>
      </c>
      <c r="C1236" s="302">
        <v>3.4386238483190819</v>
      </c>
      <c r="D1236" s="302">
        <v>0.21485950298897172</v>
      </c>
      <c r="E1236" s="302">
        <f t="shared" si="525"/>
        <v>5.0961457504283514</v>
      </c>
      <c r="F1236" s="303"/>
      <c r="G1236" s="302">
        <v>1.2229279689325769</v>
      </c>
      <c r="H1236" s="302">
        <v>3.4648552148112732</v>
      </c>
      <c r="I1236" s="302">
        <v>0.17127605513212782</v>
      </c>
      <c r="J1236" s="302">
        <f t="shared" si="526"/>
        <v>4.8590592388759779</v>
      </c>
      <c r="K1236" s="303"/>
      <c r="L1236" s="302">
        <v>1.3833831934845107</v>
      </c>
      <c r="M1236" s="302">
        <v>3.6573105389031597</v>
      </c>
      <c r="N1236" s="302">
        <v>0.2578332180820847</v>
      </c>
      <c r="O1236" s="302">
        <f t="shared" si="527"/>
        <v>5.2985269504697552</v>
      </c>
    </row>
    <row r="1237" spans="1:15" s="236" customFormat="1" x14ac:dyDescent="0.2">
      <c r="A1237" s="237" t="str">
        <f>name!E$8</f>
        <v>Skilled trades occupations</v>
      </c>
      <c r="B1237" s="302">
        <v>1.411499477875896</v>
      </c>
      <c r="C1237" s="302">
        <v>0.87080378801943292</v>
      </c>
      <c r="D1237" s="302">
        <v>1.2705331613978528</v>
      </c>
      <c r="E1237" s="302">
        <f t="shared" si="525"/>
        <v>3.5528364272931818</v>
      </c>
      <c r="F1237" s="303"/>
      <c r="G1237" s="302">
        <v>1.6155371670109726</v>
      </c>
      <c r="H1237" s="302">
        <v>0.79645142571232641</v>
      </c>
      <c r="I1237" s="302">
        <v>1.0523801653168436</v>
      </c>
      <c r="J1237" s="302">
        <f>SUM(G1237:I1237)</f>
        <v>3.4643687580401425</v>
      </c>
      <c r="K1237" s="303"/>
      <c r="L1237" s="302">
        <v>1.6953108257103269</v>
      </c>
      <c r="M1237" s="302">
        <v>1.6057102870255515</v>
      </c>
      <c r="N1237" s="302">
        <v>1.5444634350015616</v>
      </c>
      <c r="O1237" s="302">
        <f t="shared" si="527"/>
        <v>4.8454845477374402</v>
      </c>
    </row>
    <row r="1238" spans="1:15" s="236" customFormat="1" x14ac:dyDescent="0.2">
      <c r="A1238" s="237" t="str">
        <f>name!E$9</f>
        <v>Caring, leisure and other service occupations</v>
      </c>
      <c r="B1238" s="302">
        <v>2.2085225875978605</v>
      </c>
      <c r="C1238" s="302">
        <v>3.6828209493541459</v>
      </c>
      <c r="D1238" s="302">
        <v>0.79894702438529286</v>
      </c>
      <c r="E1238" s="302">
        <f t="shared" si="525"/>
        <v>6.6902905613372994</v>
      </c>
      <c r="F1238" s="303"/>
      <c r="G1238" s="302">
        <v>2.0204914132288914</v>
      </c>
      <c r="H1238" s="302">
        <v>3.408063681408938</v>
      </c>
      <c r="I1238" s="302">
        <v>0.89908806640594852</v>
      </c>
      <c r="J1238" s="302">
        <f t="shared" ref="J1238:J1241" si="528">SUM(G1238:I1238)</f>
        <v>6.3276431610437776</v>
      </c>
      <c r="K1238" s="303"/>
      <c r="L1238" s="302">
        <v>2.9365613258033445</v>
      </c>
      <c r="M1238" s="302">
        <v>4.5792475680111338</v>
      </c>
      <c r="N1238" s="302">
        <v>1.325649603787235</v>
      </c>
      <c r="O1238" s="302">
        <f t="shared" si="527"/>
        <v>8.8414584976017139</v>
      </c>
    </row>
    <row r="1239" spans="1:15" s="236" customFormat="1" x14ac:dyDescent="0.2">
      <c r="A1239" s="237" t="str">
        <f>name!E$10</f>
        <v>Sales and customer service occupations</v>
      </c>
      <c r="B1239" s="302">
        <v>0.62059197266112509</v>
      </c>
      <c r="C1239" s="302">
        <v>1.4022991483903611</v>
      </c>
      <c r="D1239" s="302">
        <v>0.27745037073961643</v>
      </c>
      <c r="E1239" s="302">
        <f t="shared" si="525"/>
        <v>2.3003414917911025</v>
      </c>
      <c r="F1239" s="303"/>
      <c r="G1239" s="302">
        <v>0.59724140844935847</v>
      </c>
      <c r="H1239" s="302">
        <v>1.4764135730808932</v>
      </c>
      <c r="I1239" s="302">
        <v>0.2040701073028377</v>
      </c>
      <c r="J1239" s="302">
        <f t="shared" si="528"/>
        <v>2.2777250888330896</v>
      </c>
      <c r="K1239" s="303"/>
      <c r="L1239" s="302">
        <v>0.85263669594457636</v>
      </c>
      <c r="M1239" s="302">
        <v>1.9267449742812486</v>
      </c>
      <c r="N1239" s="302">
        <v>0.26945930594005008</v>
      </c>
      <c r="O1239" s="302">
        <f t="shared" si="527"/>
        <v>3.048840976165875</v>
      </c>
    </row>
    <row r="1240" spans="1:15" s="236" customFormat="1" x14ac:dyDescent="0.2">
      <c r="A1240" s="237" t="str">
        <f>name!E$11</f>
        <v>Process, plant and machine operatives</v>
      </c>
      <c r="B1240" s="302">
        <v>0.2881060906114592</v>
      </c>
      <c r="C1240" s="302">
        <v>0.31181254312675982</v>
      </c>
      <c r="D1240" s="302">
        <v>6.2209690064886192E-2</v>
      </c>
      <c r="E1240" s="302">
        <f t="shared" si="525"/>
        <v>0.66212832380310516</v>
      </c>
      <c r="F1240" s="303"/>
      <c r="G1240" s="302">
        <v>0.30879999470006719</v>
      </c>
      <c r="H1240" s="302">
        <v>0.32571777374959621</v>
      </c>
      <c r="I1240" s="302">
        <v>5.8991741626713307E-2</v>
      </c>
      <c r="J1240" s="302">
        <f t="shared" si="528"/>
        <v>0.69350951007637673</v>
      </c>
      <c r="K1240" s="303"/>
      <c r="L1240" s="302">
        <v>0.4099203001692488</v>
      </c>
      <c r="M1240" s="302">
        <v>0.60887017996238169</v>
      </c>
      <c r="N1240" s="302">
        <v>9.8005999004043817E-2</v>
      </c>
      <c r="O1240" s="302">
        <f t="shared" si="527"/>
        <v>1.1167964791356744</v>
      </c>
    </row>
    <row r="1241" spans="1:15" s="236" customFormat="1" x14ac:dyDescent="0.2">
      <c r="A1241" s="237" t="str">
        <f>name!E$12</f>
        <v>Elementary occupations</v>
      </c>
      <c r="B1241" s="302">
        <v>0.83505408491614497</v>
      </c>
      <c r="C1241" s="302">
        <v>5.5910112953893174</v>
      </c>
      <c r="D1241" s="302">
        <v>0.18558590361477884</v>
      </c>
      <c r="E1241" s="302">
        <f t="shared" si="525"/>
        <v>6.6116512839202413</v>
      </c>
      <c r="F1241" s="303"/>
      <c r="G1241" s="302">
        <v>0.8474562874161129</v>
      </c>
      <c r="H1241" s="302">
        <v>4.8501486695104239</v>
      </c>
      <c r="I1241" s="302">
        <v>0.12348373651922048</v>
      </c>
      <c r="J1241" s="302">
        <f t="shared" si="528"/>
        <v>5.8210886934457564</v>
      </c>
      <c r="K1241" s="303"/>
      <c r="L1241" s="302">
        <v>0.88309462057176602</v>
      </c>
      <c r="M1241" s="302">
        <v>5.0765925843437891</v>
      </c>
      <c r="N1241" s="302">
        <v>0.19832901921348858</v>
      </c>
      <c r="O1241" s="302">
        <f t="shared" si="527"/>
        <v>6.1580162241290441</v>
      </c>
    </row>
    <row r="1242" spans="1:15" s="236" customFormat="1" x14ac:dyDescent="0.2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2">
      <c r="A1243" s="244" t="s">
        <v>32</v>
      </c>
      <c r="B1243" s="311">
        <f>SUM(B1233:B1241)</f>
        <v>13.39900000001048</v>
      </c>
      <c r="C1243" s="311">
        <f t="shared" ref="C1243:E1243" si="529">SUM(C1233:C1241)</f>
        <v>21.049000000011418</v>
      </c>
      <c r="D1243" s="311">
        <f t="shared" si="529"/>
        <v>13.246000000398281</v>
      </c>
      <c r="E1243" s="311">
        <f t="shared" si="529"/>
        <v>47.694000000420175</v>
      </c>
      <c r="F1243" s="311"/>
      <c r="G1243" s="311">
        <f t="shared" ref="G1243:J1243" si="530">SUM(G1233:G1241)</f>
        <v>14.907999999924449</v>
      </c>
      <c r="H1243" s="311">
        <f t="shared" si="530"/>
        <v>22.157000000139945</v>
      </c>
      <c r="I1243" s="311">
        <f t="shared" si="530"/>
        <v>12.636999999940892</v>
      </c>
      <c r="J1243" s="311">
        <f t="shared" si="530"/>
        <v>49.702000000005285</v>
      </c>
      <c r="K1243" s="311"/>
      <c r="L1243" s="311">
        <f t="shared" ref="L1243:O1243" si="531">SUM(L1233:L1241)</f>
        <v>19.749000000034538</v>
      </c>
      <c r="M1243" s="311">
        <f t="shared" si="531"/>
        <v>30.869000000066652</v>
      </c>
      <c r="N1243" s="311">
        <f t="shared" si="531"/>
        <v>18.796000000666659</v>
      </c>
      <c r="O1243" s="311">
        <f t="shared" si="531"/>
        <v>69.414000000767857</v>
      </c>
    </row>
    <row r="1244" spans="1:15" s="236" customFormat="1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2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2">
      <c r="A1247" s="241" t="str">
        <f>name!A76</f>
        <v>Membership organisations</v>
      </c>
      <c r="B1247" s="374">
        <f>$B$6</f>
        <v>2015</v>
      </c>
      <c r="C1247" s="374"/>
      <c r="D1247" s="374"/>
      <c r="E1247" s="374"/>
      <c r="F1247" s="263"/>
      <c r="G1247" s="374">
        <f>$G$6</f>
        <v>2020</v>
      </c>
      <c r="H1247" s="374"/>
      <c r="I1247" s="374"/>
      <c r="J1247" s="374"/>
      <c r="K1247" s="263"/>
      <c r="L1247" s="374">
        <f>$L$6</f>
        <v>2035</v>
      </c>
      <c r="M1247" s="374"/>
      <c r="N1247" s="374"/>
      <c r="O1247" s="374"/>
    </row>
    <row r="1248" spans="1:15" s="236" customFormat="1" x14ac:dyDescent="0.2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2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2">
      <c r="A1250" s="237" t="str">
        <f>name!E$4</f>
        <v>Managers, directors and senior officials</v>
      </c>
      <c r="B1250" s="302">
        <v>1.0261182676485334</v>
      </c>
      <c r="C1250" s="302">
        <v>0.39300802016237857</v>
      </c>
      <c r="D1250" s="302">
        <v>1.094775754836685</v>
      </c>
      <c r="E1250" s="302">
        <f>SUM(B1250:D1250)</f>
        <v>2.5139020426475969</v>
      </c>
      <c r="F1250" s="303"/>
      <c r="G1250" s="302">
        <v>1.065608348588742</v>
      </c>
      <c r="H1250" s="302">
        <v>0.52729935356753266</v>
      </c>
      <c r="I1250" s="302">
        <v>1.3784583329006252</v>
      </c>
      <c r="J1250" s="302">
        <f>SUM(G1250:I1250)</f>
        <v>2.9713660350569002</v>
      </c>
      <c r="K1250" s="303"/>
      <c r="L1250" s="302">
        <v>1.1526405500748953</v>
      </c>
      <c r="M1250" s="302">
        <v>0.65762496371043888</v>
      </c>
      <c r="N1250" s="302">
        <v>1.6771769531869363</v>
      </c>
      <c r="O1250" s="302">
        <f>SUM(L1250:N1250)</f>
        <v>3.4874424669722703</v>
      </c>
    </row>
    <row r="1251" spans="1:15" s="236" customFormat="1" x14ac:dyDescent="0.2">
      <c r="A1251" s="237" t="str">
        <f>name!E$5</f>
        <v>Professional occupations</v>
      </c>
      <c r="B1251" s="302">
        <v>4.1769584318502115</v>
      </c>
      <c r="C1251" s="302">
        <v>2.3437525259852956</v>
      </c>
      <c r="D1251" s="302">
        <v>3.5662865250875906</v>
      </c>
      <c r="E1251" s="302">
        <f t="shared" ref="E1251:E1258" si="532">SUM(B1251:D1251)</f>
        <v>10.086997482923097</v>
      </c>
      <c r="F1251" s="303"/>
      <c r="G1251" s="302">
        <v>4.7097484835025751</v>
      </c>
      <c r="H1251" s="302">
        <v>2.7467768302903495</v>
      </c>
      <c r="I1251" s="302">
        <v>3.832469764079947</v>
      </c>
      <c r="J1251" s="302">
        <f t="shared" ref="J1251:J1253" si="533">SUM(G1251:I1251)</f>
        <v>11.288995077872872</v>
      </c>
      <c r="K1251" s="303"/>
      <c r="L1251" s="302">
        <v>5.5171609085313591</v>
      </c>
      <c r="M1251" s="302">
        <v>3.347337028141514</v>
      </c>
      <c r="N1251" s="302">
        <v>3.9994527574342911</v>
      </c>
      <c r="O1251" s="302">
        <f t="shared" ref="O1251:O1258" si="534">SUM(L1251:N1251)</f>
        <v>12.863950694107164</v>
      </c>
    </row>
    <row r="1252" spans="1:15" s="236" customFormat="1" x14ac:dyDescent="0.2">
      <c r="A1252" s="237" t="str">
        <f>name!E$6</f>
        <v>Associate professional occupations</v>
      </c>
      <c r="B1252" s="302">
        <v>1.7396291804885984</v>
      </c>
      <c r="C1252" s="302">
        <v>1.8897568384479195</v>
      </c>
      <c r="D1252" s="302">
        <v>2.3110480291592248</v>
      </c>
      <c r="E1252" s="302">
        <f t="shared" si="532"/>
        <v>5.9404340480957423</v>
      </c>
      <c r="F1252" s="303"/>
      <c r="G1252" s="302">
        <v>1.7904052341508507</v>
      </c>
      <c r="H1252" s="302">
        <v>1.8642384823700808</v>
      </c>
      <c r="I1252" s="302">
        <v>2.4744572015141175</v>
      </c>
      <c r="J1252" s="302">
        <f t="shared" si="533"/>
        <v>6.1291009180350491</v>
      </c>
      <c r="K1252" s="303"/>
      <c r="L1252" s="302">
        <v>1.7453824044901853</v>
      </c>
      <c r="M1252" s="302">
        <v>2.045045233656837</v>
      </c>
      <c r="N1252" s="302">
        <v>2.8544044774371868</v>
      </c>
      <c r="O1252" s="302">
        <f t="shared" si="534"/>
        <v>6.6448321155842098</v>
      </c>
    </row>
    <row r="1253" spans="1:15" s="236" customFormat="1" x14ac:dyDescent="0.2">
      <c r="A1253" s="237" t="str">
        <f>name!E$7</f>
        <v>Administrative and secretarial occupations</v>
      </c>
      <c r="B1253" s="302">
        <v>1.5177687265428508</v>
      </c>
      <c r="C1253" s="302">
        <v>2.9368900495386474</v>
      </c>
      <c r="D1253" s="302">
        <v>0.91358104460201239</v>
      </c>
      <c r="E1253" s="302">
        <f t="shared" si="532"/>
        <v>5.3682398206835105</v>
      </c>
      <c r="F1253" s="303"/>
      <c r="G1253" s="302">
        <v>1.2406590082372844</v>
      </c>
      <c r="H1253" s="302">
        <v>2.0878030525710818</v>
      </c>
      <c r="I1253" s="302">
        <v>0.85158371148292811</v>
      </c>
      <c r="J1253" s="302">
        <f t="shared" si="533"/>
        <v>4.1800457722912947</v>
      </c>
      <c r="K1253" s="303"/>
      <c r="L1253" s="302">
        <v>0.88579653986605378</v>
      </c>
      <c r="M1253" s="302">
        <v>1.7215893073563338</v>
      </c>
      <c r="N1253" s="302">
        <v>0.51529191155964138</v>
      </c>
      <c r="O1253" s="302">
        <f t="shared" si="534"/>
        <v>3.1226777587820291</v>
      </c>
    </row>
    <row r="1254" spans="1:15" s="236" customFormat="1" x14ac:dyDescent="0.2">
      <c r="A1254" s="237" t="str">
        <f>name!E$8</f>
        <v>Skilled trades occupations</v>
      </c>
      <c r="B1254" s="302">
        <v>0.19445695278426856</v>
      </c>
      <c r="C1254" s="302">
        <v>0.30887077791133033</v>
      </c>
      <c r="D1254" s="302">
        <v>0.56397763671503276</v>
      </c>
      <c r="E1254" s="302">
        <f t="shared" si="532"/>
        <v>1.0673053674106316</v>
      </c>
      <c r="F1254" s="303"/>
      <c r="G1254" s="302">
        <v>0.14536401600330778</v>
      </c>
      <c r="H1254" s="302">
        <v>0.25362354963323985</v>
      </c>
      <c r="I1254" s="302">
        <v>0.53166196594105442</v>
      </c>
      <c r="J1254" s="302">
        <f>SUM(G1254:I1254)</f>
        <v>0.930649531577602</v>
      </c>
      <c r="K1254" s="303"/>
      <c r="L1254" s="302">
        <v>0.13975864829185058</v>
      </c>
      <c r="M1254" s="302">
        <v>0.24632800239121447</v>
      </c>
      <c r="N1254" s="302">
        <v>0.90308051734016592</v>
      </c>
      <c r="O1254" s="302">
        <f t="shared" si="534"/>
        <v>1.2891671680232308</v>
      </c>
    </row>
    <row r="1255" spans="1:15" s="236" customFormat="1" x14ac:dyDescent="0.2">
      <c r="A1255" s="237" t="str">
        <f>name!E$9</f>
        <v>Caring, leisure and other service occupations</v>
      </c>
      <c r="B1255" s="302">
        <v>0.98527879673040997</v>
      </c>
      <c r="C1255" s="302">
        <v>1.3918319885490196</v>
      </c>
      <c r="D1255" s="302">
        <v>0.63604962437143597</v>
      </c>
      <c r="E1255" s="302">
        <f t="shared" si="532"/>
        <v>3.0131604096508653</v>
      </c>
      <c r="F1255" s="303"/>
      <c r="G1255" s="302">
        <v>0.81596769061526331</v>
      </c>
      <c r="H1255" s="302">
        <v>1.0297734309721067</v>
      </c>
      <c r="I1255" s="302">
        <v>0.69857931045777566</v>
      </c>
      <c r="J1255" s="302">
        <f t="shared" ref="J1255:J1258" si="535">SUM(G1255:I1255)</f>
        <v>2.5443204320451458</v>
      </c>
      <c r="K1255" s="303"/>
      <c r="L1255" s="302">
        <v>0.77921456726271765</v>
      </c>
      <c r="M1255" s="302">
        <v>0.94177893225859854</v>
      </c>
      <c r="N1255" s="302">
        <v>0.87169414770857423</v>
      </c>
      <c r="O1255" s="302">
        <f t="shared" si="534"/>
        <v>2.5926876472298908</v>
      </c>
    </row>
    <row r="1256" spans="1:15" s="236" customFormat="1" x14ac:dyDescent="0.2">
      <c r="A1256" s="237" t="str">
        <f>name!E$10</f>
        <v>Sales and customer service occupations</v>
      </c>
      <c r="B1256" s="302">
        <v>0.17584289443646611</v>
      </c>
      <c r="C1256" s="302">
        <v>0.29966753656171691</v>
      </c>
      <c r="D1256" s="302">
        <v>0.3121606349677869</v>
      </c>
      <c r="E1256" s="302">
        <f t="shared" si="532"/>
        <v>0.78767106596596992</v>
      </c>
      <c r="F1256" s="303"/>
      <c r="G1256" s="302">
        <v>0.1492760678639419</v>
      </c>
      <c r="H1256" s="302">
        <v>0.25427379673418721</v>
      </c>
      <c r="I1256" s="302">
        <v>0.24007174782921786</v>
      </c>
      <c r="J1256" s="302">
        <f t="shared" si="535"/>
        <v>0.64362161242734706</v>
      </c>
      <c r="K1256" s="303"/>
      <c r="L1256" s="302">
        <v>0.15401091807997427</v>
      </c>
      <c r="M1256" s="302">
        <v>0.27745221750623184</v>
      </c>
      <c r="N1256" s="302">
        <v>0.24867185093508423</v>
      </c>
      <c r="O1256" s="302">
        <f t="shared" si="534"/>
        <v>0.68013498652129034</v>
      </c>
    </row>
    <row r="1257" spans="1:15" s="236" customFormat="1" x14ac:dyDescent="0.2">
      <c r="A1257" s="237" t="str">
        <f>name!E$11</f>
        <v>Process, plant and machine operatives</v>
      </c>
      <c r="B1257" s="302">
        <v>0.11894286230440149</v>
      </c>
      <c r="C1257" s="302">
        <v>0.5358759083157979</v>
      </c>
      <c r="D1257" s="302">
        <v>0.16487123036665172</v>
      </c>
      <c r="E1257" s="302">
        <f t="shared" si="532"/>
        <v>0.81969000098685108</v>
      </c>
      <c r="F1257" s="303"/>
      <c r="G1257" s="302">
        <v>8.5234351132800354E-2</v>
      </c>
      <c r="H1257" s="302">
        <v>0.39485091563761426</v>
      </c>
      <c r="I1257" s="302">
        <v>0.18124002716766713</v>
      </c>
      <c r="J1257" s="302">
        <f t="shared" si="535"/>
        <v>0.66132529393808182</v>
      </c>
      <c r="K1257" s="303"/>
      <c r="L1257" s="302">
        <v>8.6890084598901546E-2</v>
      </c>
      <c r="M1257" s="302">
        <v>0.98203425267419331</v>
      </c>
      <c r="N1257" s="302">
        <v>0.14221694571045088</v>
      </c>
      <c r="O1257" s="302">
        <f t="shared" si="534"/>
        <v>1.2111412829835457</v>
      </c>
    </row>
    <row r="1258" spans="1:15" s="236" customFormat="1" x14ac:dyDescent="0.2">
      <c r="A1258" s="237" t="str">
        <f>name!E$12</f>
        <v>Elementary occupations</v>
      </c>
      <c r="B1258" s="302">
        <v>0.1970038872237396</v>
      </c>
      <c r="C1258" s="302">
        <v>2.6313463544798412</v>
      </c>
      <c r="D1258" s="302">
        <v>0.66024952013117377</v>
      </c>
      <c r="E1258" s="302">
        <f t="shared" si="532"/>
        <v>3.4885997618347542</v>
      </c>
      <c r="F1258" s="303"/>
      <c r="G1258" s="302">
        <v>0.15073679971925008</v>
      </c>
      <c r="H1258" s="302">
        <v>1.7033605882184455</v>
      </c>
      <c r="I1258" s="302">
        <v>0.46347793839350887</v>
      </c>
      <c r="J1258" s="302">
        <f t="shared" si="535"/>
        <v>2.3175753263312044</v>
      </c>
      <c r="K1258" s="303"/>
      <c r="L1258" s="302">
        <v>0.13114537876431245</v>
      </c>
      <c r="M1258" s="302">
        <v>0.91081006230518824</v>
      </c>
      <c r="N1258" s="302">
        <v>0.28701043887089628</v>
      </c>
      <c r="O1258" s="302">
        <f t="shared" si="534"/>
        <v>1.3289658799403969</v>
      </c>
    </row>
    <row r="1259" spans="1:15" s="236" customFormat="1" x14ac:dyDescent="0.2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2">
      <c r="A1260" s="244" t="s">
        <v>32</v>
      </c>
      <c r="B1260" s="311">
        <f>SUM(B1250:B1258)</f>
        <v>10.132000000009478</v>
      </c>
      <c r="C1260" s="311">
        <f t="shared" ref="C1260:E1260" si="536">SUM(C1250:C1258)</f>
        <v>12.730999999951949</v>
      </c>
      <c r="D1260" s="311">
        <f t="shared" si="536"/>
        <v>10.223000000237594</v>
      </c>
      <c r="E1260" s="311">
        <f t="shared" si="536"/>
        <v>33.086000000199022</v>
      </c>
      <c r="F1260" s="311"/>
      <c r="G1260" s="311">
        <f t="shared" ref="G1260:J1260" si="537">SUM(G1250:G1258)</f>
        <v>10.152999999814016</v>
      </c>
      <c r="H1260" s="311">
        <f t="shared" si="537"/>
        <v>10.861999999994637</v>
      </c>
      <c r="I1260" s="311">
        <f t="shared" si="537"/>
        <v>10.651999999766844</v>
      </c>
      <c r="J1260" s="311">
        <f t="shared" si="537"/>
        <v>31.666999999575495</v>
      </c>
      <c r="K1260" s="311"/>
      <c r="L1260" s="311">
        <f t="shared" ref="L1260:O1260" si="538">SUM(L1250:L1258)</f>
        <v>10.591999999960249</v>
      </c>
      <c r="M1260" s="311">
        <f t="shared" si="538"/>
        <v>11.130000000000551</v>
      </c>
      <c r="N1260" s="311">
        <f t="shared" si="538"/>
        <v>11.499000000183228</v>
      </c>
      <c r="O1260" s="311">
        <f t="shared" si="538"/>
        <v>33.221000000144031</v>
      </c>
    </row>
    <row r="1261" spans="1:15" s="236" customFormat="1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2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2">
      <c r="A1264" s="241" t="str">
        <f>name!A77</f>
        <v>Repair of goods</v>
      </c>
      <c r="B1264" s="374">
        <f>$B$6</f>
        <v>2015</v>
      </c>
      <c r="C1264" s="374"/>
      <c r="D1264" s="374"/>
      <c r="E1264" s="374"/>
      <c r="F1264" s="263"/>
      <c r="G1264" s="374">
        <f>$G$6</f>
        <v>2020</v>
      </c>
      <c r="H1264" s="374"/>
      <c r="I1264" s="374"/>
      <c r="J1264" s="374"/>
      <c r="K1264" s="263"/>
      <c r="L1264" s="374">
        <f>$L$6</f>
        <v>2035</v>
      </c>
      <c r="M1264" s="374"/>
      <c r="N1264" s="374"/>
      <c r="O1264" s="374"/>
    </row>
    <row r="1265" spans="1:15" s="236" customFormat="1" x14ac:dyDescent="0.2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2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2">
      <c r="A1267" s="237" t="str">
        <f>name!E$4</f>
        <v>Managers, directors and senior officials</v>
      </c>
      <c r="B1267" s="302">
        <v>0.49295774832426703</v>
      </c>
      <c r="C1267" s="302">
        <v>4.6150169268728133E-3</v>
      </c>
      <c r="D1267" s="302">
        <v>0.74767450577817718</v>
      </c>
      <c r="E1267" s="302">
        <f>SUM(B1267:D1267)</f>
        <v>1.245247271029317</v>
      </c>
      <c r="F1267" s="303"/>
      <c r="G1267" s="302">
        <v>0.61014877932465472</v>
      </c>
      <c r="H1267" s="302">
        <v>4.190342384476848E-2</v>
      </c>
      <c r="I1267" s="302">
        <v>1.7819738430142658</v>
      </c>
      <c r="J1267" s="302">
        <f>SUM(G1267:I1267)</f>
        <v>2.4340260461836891</v>
      </c>
      <c r="K1267" s="303"/>
      <c r="L1267" s="302">
        <v>0.74324697470788836</v>
      </c>
      <c r="M1267" s="302">
        <v>5.4119070671038272E-2</v>
      </c>
      <c r="N1267" s="302">
        <v>2.3108263289399993</v>
      </c>
      <c r="O1267" s="302">
        <f>SUM(L1267:N1267)</f>
        <v>3.1081923743189259</v>
      </c>
    </row>
    <row r="1268" spans="1:15" s="236" customFormat="1" x14ac:dyDescent="0.2">
      <c r="A1268" s="237" t="str">
        <f>name!E$5</f>
        <v>Professional occupations</v>
      </c>
      <c r="B1268" s="302">
        <v>0.61157712498904293</v>
      </c>
      <c r="C1268" s="302">
        <v>1.0513150059313305E-2</v>
      </c>
      <c r="D1268" s="302">
        <v>0.19447539436430947</v>
      </c>
      <c r="E1268" s="302">
        <f t="shared" ref="E1268:E1275" si="539">SUM(B1268:D1268)</f>
        <v>0.81656566941266573</v>
      </c>
      <c r="F1268" s="303"/>
      <c r="G1268" s="302">
        <v>0.85465808984966796</v>
      </c>
      <c r="H1268" s="302">
        <v>6.7892823508024003E-2</v>
      </c>
      <c r="I1268" s="302">
        <v>0.47754465356915604</v>
      </c>
      <c r="J1268" s="302">
        <f t="shared" ref="J1268:J1270" si="540">SUM(G1268:I1268)</f>
        <v>1.400095566926848</v>
      </c>
      <c r="K1268" s="303"/>
      <c r="L1268" s="302">
        <v>1.1727288806162801</v>
      </c>
      <c r="M1268" s="302">
        <v>9.4628968136769798E-2</v>
      </c>
      <c r="N1268" s="302">
        <v>0.32804432801473754</v>
      </c>
      <c r="O1268" s="302">
        <f t="shared" ref="O1268:O1275" si="541">SUM(L1268:N1268)</f>
        <v>1.5954021767677875</v>
      </c>
    </row>
    <row r="1269" spans="1:15" s="236" customFormat="1" x14ac:dyDescent="0.2">
      <c r="A1269" s="237" t="str">
        <f>name!E$6</f>
        <v>Associate professional occupations</v>
      </c>
      <c r="B1269" s="302">
        <v>0.32640141535079842</v>
      </c>
      <c r="C1269" s="302">
        <v>8.0922102061574182E-3</v>
      </c>
      <c r="D1269" s="302">
        <v>0.10530031307187133</v>
      </c>
      <c r="E1269" s="302">
        <f t="shared" si="539"/>
        <v>0.43979393862882715</v>
      </c>
      <c r="F1269" s="303"/>
      <c r="G1269" s="302">
        <v>0.4130623361014879</v>
      </c>
      <c r="H1269" s="302">
        <v>5.6635040586287787E-2</v>
      </c>
      <c r="I1269" s="302">
        <v>0.2280251801446658</v>
      </c>
      <c r="J1269" s="302">
        <f t="shared" si="540"/>
        <v>0.69772255683244144</v>
      </c>
      <c r="K1269" s="303"/>
      <c r="L1269" s="302">
        <v>0.47669667228495166</v>
      </c>
      <c r="M1269" s="302">
        <v>6.1014338280467324E-2</v>
      </c>
      <c r="N1269" s="302">
        <v>0.1457668663457739</v>
      </c>
      <c r="O1269" s="302">
        <f t="shared" si="541"/>
        <v>0.68347787691119288</v>
      </c>
    </row>
    <row r="1270" spans="1:15" s="236" customFormat="1" x14ac:dyDescent="0.2">
      <c r="A1270" s="237" t="str">
        <f>name!E$7</f>
        <v>Administrative and secretarial occupations</v>
      </c>
      <c r="B1270" s="302">
        <v>0.16190664724162321</v>
      </c>
      <c r="C1270" s="302">
        <v>1.2198821964862296E-2</v>
      </c>
      <c r="D1270" s="302">
        <v>2.7508953951713832E-2</v>
      </c>
      <c r="E1270" s="302">
        <f t="shared" si="539"/>
        <v>0.20161442315819933</v>
      </c>
      <c r="F1270" s="303"/>
      <c r="G1270" s="302">
        <v>0.18691519321668773</v>
      </c>
      <c r="H1270" s="302">
        <v>7.116984292708077E-2</v>
      </c>
      <c r="I1270" s="302">
        <v>5.4855725659201847E-2</v>
      </c>
      <c r="J1270" s="302">
        <f t="shared" si="540"/>
        <v>0.31294076180297031</v>
      </c>
      <c r="K1270" s="303"/>
      <c r="L1270" s="302">
        <v>0.20340991277880024</v>
      </c>
      <c r="M1270" s="302">
        <v>6.961821378956902E-2</v>
      </c>
      <c r="N1270" s="302">
        <v>5.8462398065309736E-2</v>
      </c>
      <c r="O1270" s="302">
        <f t="shared" si="541"/>
        <v>0.33149052463367901</v>
      </c>
    </row>
    <row r="1271" spans="1:15" s="236" customFormat="1" x14ac:dyDescent="0.2">
      <c r="A1271" s="237" t="str">
        <f>name!E$8</f>
        <v>Skilled trades occupations</v>
      </c>
      <c r="B1271" s="302">
        <v>0.20404046314675237</v>
      </c>
      <c r="C1271" s="302">
        <v>3.4371584923700398E-3</v>
      </c>
      <c r="D1271" s="302">
        <v>0.31310724301649934</v>
      </c>
      <c r="E1271" s="302">
        <f t="shared" si="539"/>
        <v>0.5205848646556217</v>
      </c>
      <c r="F1271" s="303"/>
      <c r="G1271" s="302">
        <v>0.17178163080111847</v>
      </c>
      <c r="H1271" s="302">
        <v>1.8933524643826537E-2</v>
      </c>
      <c r="I1271" s="302">
        <v>0.690216186535067</v>
      </c>
      <c r="J1271" s="302">
        <f>SUM(G1271:I1271)</f>
        <v>0.88093134198001199</v>
      </c>
      <c r="K1271" s="303"/>
      <c r="L1271" s="302">
        <v>0.17442090826896806</v>
      </c>
      <c r="M1271" s="302">
        <v>2.0174411449493036E-2</v>
      </c>
      <c r="N1271" s="302">
        <v>0.91760971248026724</v>
      </c>
      <c r="O1271" s="302">
        <f t="shared" si="541"/>
        <v>1.1122050321987282</v>
      </c>
    </row>
    <row r="1272" spans="1:15" s="236" customFormat="1" x14ac:dyDescent="0.2">
      <c r="A1272" s="237" t="str">
        <f>name!E$9</f>
        <v>Caring, leisure and other service occupations</v>
      </c>
      <c r="B1272" s="302">
        <v>2.5233024634159208E-2</v>
      </c>
      <c r="C1272" s="302">
        <v>1.0911304040045382E-3</v>
      </c>
      <c r="D1272" s="302">
        <v>3.3562113703850011E-2</v>
      </c>
      <c r="E1272" s="302">
        <f t="shared" si="539"/>
        <v>5.9886268742013755E-2</v>
      </c>
      <c r="F1272" s="303"/>
      <c r="G1272" s="302">
        <v>3.0069446554004439E-2</v>
      </c>
      <c r="H1272" s="302">
        <v>6.4209853895282176E-3</v>
      </c>
      <c r="I1272" s="302">
        <v>7.2707771854522818E-2</v>
      </c>
      <c r="J1272" s="302">
        <f t="shared" ref="J1272:J1275" si="542">SUM(G1272:I1272)</f>
        <v>0.10919820379805548</v>
      </c>
      <c r="K1272" s="303"/>
      <c r="L1272" s="302">
        <v>4.4268881911107269E-2</v>
      </c>
      <c r="M1272" s="302">
        <v>6.3698189260230553E-3</v>
      </c>
      <c r="N1272" s="302">
        <v>0.13269223050477763</v>
      </c>
      <c r="O1272" s="302">
        <f t="shared" si="541"/>
        <v>0.18333093134190795</v>
      </c>
    </row>
    <row r="1273" spans="1:15" s="236" customFormat="1" x14ac:dyDescent="0.2">
      <c r="A1273" s="237" t="str">
        <f>name!E$10</f>
        <v>Sales and customer service occupations</v>
      </c>
      <c r="B1273" s="302">
        <v>0.54699225660286543</v>
      </c>
      <c r="C1273" s="302">
        <v>0.1486254016456087</v>
      </c>
      <c r="D1273" s="302">
        <v>0.30255724413952922</v>
      </c>
      <c r="E1273" s="302">
        <f t="shared" si="539"/>
        <v>0.99817490238800333</v>
      </c>
      <c r="F1273" s="303"/>
      <c r="G1273" s="302">
        <v>0.52379812665279946</v>
      </c>
      <c r="H1273" s="302">
        <v>0.83153462575081549</v>
      </c>
      <c r="I1273" s="302">
        <v>0.55130908031048698</v>
      </c>
      <c r="J1273" s="302">
        <f t="shared" si="542"/>
        <v>1.9066418327141019</v>
      </c>
      <c r="K1273" s="303"/>
      <c r="L1273" s="302">
        <v>0.3778973481892372</v>
      </c>
      <c r="M1273" s="302">
        <v>0.82804368073652435</v>
      </c>
      <c r="N1273" s="302">
        <v>0.45872056347034534</v>
      </c>
      <c r="O1273" s="302">
        <f t="shared" si="541"/>
        <v>1.6646615923961068</v>
      </c>
    </row>
    <row r="1274" spans="1:15" s="236" customFormat="1" x14ac:dyDescent="0.2">
      <c r="A1274" s="237" t="str">
        <f>name!E$11</f>
        <v>Process, plant and machine operatives</v>
      </c>
      <c r="B1274" s="302">
        <v>0.13105319049686634</v>
      </c>
      <c r="C1274" s="302">
        <v>3.1054419558449271E-3</v>
      </c>
      <c r="D1274" s="302">
        <v>1.5301383644470515E-2</v>
      </c>
      <c r="E1274" s="302">
        <f t="shared" si="539"/>
        <v>0.14946001609718176</v>
      </c>
      <c r="F1274" s="303"/>
      <c r="G1274" s="302">
        <v>0.12045327613408455</v>
      </c>
      <c r="H1274" s="302">
        <v>2.6195831471019025E-2</v>
      </c>
      <c r="I1274" s="302">
        <v>4.2715610761674981E-2</v>
      </c>
      <c r="J1274" s="302">
        <f t="shared" si="542"/>
        <v>0.18936471836677857</v>
      </c>
      <c r="K1274" s="303"/>
      <c r="L1274" s="302">
        <v>0.10492600535592628</v>
      </c>
      <c r="M1274" s="302">
        <v>4.4823724796634892E-2</v>
      </c>
      <c r="N1274" s="302">
        <v>3.2013204327214426E-2</v>
      </c>
      <c r="O1274" s="302">
        <f t="shared" si="541"/>
        <v>0.1817629344797756</v>
      </c>
    </row>
    <row r="1275" spans="1:15" s="236" customFormat="1" x14ac:dyDescent="0.2">
      <c r="A1275" s="237" t="str">
        <f>name!E$12</f>
        <v>Elementary occupations</v>
      </c>
      <c r="B1275" s="302">
        <v>0.29583812918571734</v>
      </c>
      <c r="C1275" s="302">
        <v>1.8321668350118215E-2</v>
      </c>
      <c r="D1275" s="302">
        <v>1.3512848354702754E-2</v>
      </c>
      <c r="E1275" s="302">
        <f t="shared" si="539"/>
        <v>0.32767264589053829</v>
      </c>
      <c r="F1275" s="303"/>
      <c r="G1275" s="302">
        <v>0.29311312131405221</v>
      </c>
      <c r="H1275" s="302">
        <v>0.10531390191675928</v>
      </c>
      <c r="I1275" s="302">
        <v>2.8651948134153785E-2</v>
      </c>
      <c r="J1275" s="302">
        <f t="shared" si="542"/>
        <v>0.42707897136496525</v>
      </c>
      <c r="K1275" s="303"/>
      <c r="L1275" s="302">
        <v>0.31540441583431539</v>
      </c>
      <c r="M1275" s="302">
        <v>9.1207773217425334E-2</v>
      </c>
      <c r="N1275" s="302">
        <v>3.3864367869843148E-2</v>
      </c>
      <c r="O1275" s="302">
        <f t="shared" si="541"/>
        <v>0.44047655692158388</v>
      </c>
    </row>
    <row r="1276" spans="1:15" s="236" customFormat="1" x14ac:dyDescent="0.2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2">
      <c r="A1277" s="244" t="s">
        <v>32</v>
      </c>
      <c r="B1277" s="311">
        <f>SUM(B1267:B1275)</f>
        <v>2.7959999999720924</v>
      </c>
      <c r="C1277" s="311">
        <f t="shared" ref="C1277:E1277" si="543">SUM(C1267:C1275)</f>
        <v>0.21000000000515226</v>
      </c>
      <c r="D1277" s="311">
        <f t="shared" si="543"/>
        <v>1.7530000000251236</v>
      </c>
      <c r="E1277" s="311">
        <f t="shared" si="543"/>
        <v>4.7590000000023673</v>
      </c>
      <c r="F1277" s="311"/>
      <c r="G1277" s="311">
        <f t="shared" ref="G1277:J1277" si="544">SUM(G1267:G1275)</f>
        <v>3.2039999999485578</v>
      </c>
      <c r="H1277" s="311">
        <f t="shared" si="544"/>
        <v>1.2260000000381097</v>
      </c>
      <c r="I1277" s="311">
        <f t="shared" si="544"/>
        <v>3.9279999999831952</v>
      </c>
      <c r="J1277" s="311">
        <f t="shared" si="544"/>
        <v>8.3579999999698629</v>
      </c>
      <c r="K1277" s="311"/>
      <c r="L1277" s="311">
        <f t="shared" ref="L1277:O1277" si="545">SUM(L1267:L1275)</f>
        <v>3.6129999999474749</v>
      </c>
      <c r="M1277" s="311">
        <f t="shared" si="545"/>
        <v>1.2700000000039451</v>
      </c>
      <c r="N1277" s="311">
        <f t="shared" si="545"/>
        <v>4.4180000000182682</v>
      </c>
      <c r="O1277" s="311">
        <f t="shared" si="545"/>
        <v>9.3009999999696884</v>
      </c>
    </row>
    <row r="1278" spans="1:15" s="236" customFormat="1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2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2">
      <c r="A1281" s="241" t="str">
        <f>name!A78</f>
        <v>Other personal service</v>
      </c>
      <c r="B1281" s="374">
        <f>$B$6</f>
        <v>2015</v>
      </c>
      <c r="C1281" s="374"/>
      <c r="D1281" s="374"/>
      <c r="E1281" s="374"/>
      <c r="F1281" s="263"/>
      <c r="G1281" s="374">
        <f>$G$6</f>
        <v>2020</v>
      </c>
      <c r="H1281" s="374"/>
      <c r="I1281" s="374"/>
      <c r="J1281" s="374"/>
      <c r="K1281" s="263"/>
      <c r="L1281" s="374">
        <f>$L$6</f>
        <v>2035</v>
      </c>
      <c r="M1281" s="374"/>
      <c r="N1281" s="374"/>
      <c r="O1281" s="374"/>
    </row>
    <row r="1282" spans="1:15" s="236" customFormat="1" x14ac:dyDescent="0.2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2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2">
      <c r="A1284" s="237" t="str">
        <f>name!E$4</f>
        <v>Managers, directors and senior officials</v>
      </c>
      <c r="B1284" s="302">
        <v>0.92380223882315138</v>
      </c>
      <c r="C1284" s="302">
        <v>0.14164996305802569</v>
      </c>
      <c r="D1284" s="302">
        <v>1.7056240023822047</v>
      </c>
      <c r="E1284" s="302">
        <f>SUM(B1284:D1284)</f>
        <v>2.7710762042633821</v>
      </c>
      <c r="F1284" s="303"/>
      <c r="G1284" s="302">
        <v>1.0430245880713509</v>
      </c>
      <c r="H1284" s="302">
        <v>0.28686170935165139</v>
      </c>
      <c r="I1284" s="302">
        <v>1.9845740981737852</v>
      </c>
      <c r="J1284" s="302">
        <f>SUM(G1284:I1284)</f>
        <v>3.3144603955967877</v>
      </c>
      <c r="K1284" s="303"/>
      <c r="L1284" s="302">
        <v>1.2673971762918381</v>
      </c>
      <c r="M1284" s="302">
        <v>0.41918536780408255</v>
      </c>
      <c r="N1284" s="302">
        <v>2.4518855697468394</v>
      </c>
      <c r="O1284" s="302">
        <f>SUM(L1284:N1284)</f>
        <v>4.1384681138427606</v>
      </c>
    </row>
    <row r="1285" spans="1:15" s="236" customFormat="1" x14ac:dyDescent="0.2">
      <c r="A1285" s="237" t="str">
        <f>name!E$5</f>
        <v>Professional occupations</v>
      </c>
      <c r="B1285" s="302">
        <v>1.0361070412196092</v>
      </c>
      <c r="C1285" s="302">
        <v>0.34554524626522343</v>
      </c>
      <c r="D1285" s="302">
        <v>0.62221552611838882</v>
      </c>
      <c r="E1285" s="302">
        <f t="shared" ref="E1285:E1292" si="546">SUM(B1285:D1285)</f>
        <v>2.0038678136032217</v>
      </c>
      <c r="F1285" s="303"/>
      <c r="G1285" s="302">
        <v>1.2795266080843801</v>
      </c>
      <c r="H1285" s="302">
        <v>0.72410173969118496</v>
      </c>
      <c r="I1285" s="302">
        <v>0.82955141798132392</v>
      </c>
      <c r="J1285" s="302">
        <f t="shared" ref="J1285:J1287" si="547">SUM(G1285:I1285)</f>
        <v>2.8331797657568893</v>
      </c>
      <c r="K1285" s="303"/>
      <c r="L1285" s="302">
        <v>1.58754272795951</v>
      </c>
      <c r="M1285" s="302">
        <v>1.0683589457555602</v>
      </c>
      <c r="N1285" s="302">
        <v>0.54238463752406929</v>
      </c>
      <c r="O1285" s="302">
        <f t="shared" ref="O1285:O1292" si="548">SUM(L1285:N1285)</f>
        <v>3.1982863112391398</v>
      </c>
    </row>
    <row r="1286" spans="1:15" s="236" customFormat="1" x14ac:dyDescent="0.2">
      <c r="A1286" s="237" t="str">
        <f>name!E$6</f>
        <v>Associate professional occupations</v>
      </c>
      <c r="B1286" s="302">
        <v>0.75658084958245997</v>
      </c>
      <c r="C1286" s="302">
        <v>0.47162838238892468</v>
      </c>
      <c r="D1286" s="302">
        <v>1.4005724018620394</v>
      </c>
      <c r="E1286" s="302">
        <f t="shared" si="546"/>
        <v>2.628781633833424</v>
      </c>
      <c r="F1286" s="303"/>
      <c r="G1286" s="302">
        <v>0.87924550020414705</v>
      </c>
      <c r="H1286" s="302">
        <v>0.71631672209961916</v>
      </c>
      <c r="I1286" s="302">
        <v>1.550079789382665</v>
      </c>
      <c r="J1286" s="302">
        <f t="shared" si="547"/>
        <v>3.145642011686431</v>
      </c>
      <c r="K1286" s="303"/>
      <c r="L1286" s="302">
        <v>0.88737091229806742</v>
      </c>
      <c r="M1286" s="302">
        <v>0.95167143045617852</v>
      </c>
      <c r="N1286" s="302">
        <v>1.1392630688732313</v>
      </c>
      <c r="O1286" s="302">
        <f t="shared" si="548"/>
        <v>2.9783054116274772</v>
      </c>
    </row>
    <row r="1287" spans="1:15" s="236" customFormat="1" x14ac:dyDescent="0.2">
      <c r="A1287" s="237" t="str">
        <f>name!E$7</f>
        <v>Administrative and secretarial occupations</v>
      </c>
      <c r="B1287" s="302">
        <v>0.57293584926202512</v>
      </c>
      <c r="C1287" s="302">
        <v>0.67286631433314692</v>
      </c>
      <c r="D1287" s="302">
        <v>0.10180499520586926</v>
      </c>
      <c r="E1287" s="302">
        <f t="shared" si="546"/>
        <v>1.3476071588010412</v>
      </c>
      <c r="F1287" s="303"/>
      <c r="G1287" s="302">
        <v>0.56024524966783029</v>
      </c>
      <c r="H1287" s="302">
        <v>0.63229932221475627</v>
      </c>
      <c r="I1287" s="302">
        <v>0.10319099525744489</v>
      </c>
      <c r="J1287" s="302">
        <f t="shared" si="547"/>
        <v>1.2957355671400312</v>
      </c>
      <c r="K1287" s="303"/>
      <c r="L1287" s="302">
        <v>0.5511598935415043</v>
      </c>
      <c r="M1287" s="302">
        <v>0.81438713105074889</v>
      </c>
      <c r="N1287" s="302">
        <v>9.1627701113908527E-2</v>
      </c>
      <c r="O1287" s="302">
        <f t="shared" si="548"/>
        <v>1.4571747257061618</v>
      </c>
    </row>
    <row r="1288" spans="1:15" s="236" customFormat="1" x14ac:dyDescent="0.2">
      <c r="A1288" s="237" t="str">
        <f>name!E$8</f>
        <v>Skilled trades occupations</v>
      </c>
      <c r="B1288" s="302">
        <v>0.72863544846984718</v>
      </c>
      <c r="C1288" s="302">
        <v>0.14189981380508179</v>
      </c>
      <c r="D1288" s="302">
        <v>0.73806748480524542</v>
      </c>
      <c r="E1288" s="302">
        <f t="shared" si="546"/>
        <v>1.6086027470801745</v>
      </c>
      <c r="F1288" s="303"/>
      <c r="G1288" s="302">
        <v>0.61499907169365142</v>
      </c>
      <c r="H1288" s="302">
        <v>0.23241708532152322</v>
      </c>
      <c r="I1288" s="302">
        <v>0.86373454841229569</v>
      </c>
      <c r="J1288" s="302">
        <f>SUM(G1288:I1288)</f>
        <v>1.7111507054274702</v>
      </c>
      <c r="K1288" s="303"/>
      <c r="L1288" s="302">
        <v>0.62358186562007001</v>
      </c>
      <c r="M1288" s="302">
        <v>0.28285202874596971</v>
      </c>
      <c r="N1288" s="302">
        <v>1.316500997790258</v>
      </c>
      <c r="O1288" s="302">
        <f t="shared" si="548"/>
        <v>2.2229348921562977</v>
      </c>
    </row>
    <row r="1289" spans="1:15" s="236" customFormat="1" x14ac:dyDescent="0.2">
      <c r="A1289" s="237" t="str">
        <f>name!E$9</f>
        <v>Caring, leisure and other service occupations</v>
      </c>
      <c r="B1289" s="302">
        <v>7.7581473586588263</v>
      </c>
      <c r="C1289" s="302">
        <v>4.9364310798902995</v>
      </c>
      <c r="D1289" s="302">
        <v>7.0391144668546559</v>
      </c>
      <c r="E1289" s="302">
        <f t="shared" si="546"/>
        <v>19.733692905403782</v>
      </c>
      <c r="F1289" s="303"/>
      <c r="G1289" s="302">
        <v>7.4706326902104356</v>
      </c>
      <c r="H1289" s="302">
        <v>3.9896166670621125</v>
      </c>
      <c r="I1289" s="302">
        <v>8.2004157631677863</v>
      </c>
      <c r="J1289" s="302">
        <f t="shared" ref="J1289:J1292" si="549">SUM(G1289:I1289)</f>
        <v>19.660665120440335</v>
      </c>
      <c r="K1289" s="303"/>
      <c r="L1289" s="302">
        <v>7.769947962374764</v>
      </c>
      <c r="M1289" s="302">
        <v>3.4623542915823013</v>
      </c>
      <c r="N1289" s="302">
        <v>9.1296197584822441</v>
      </c>
      <c r="O1289" s="302">
        <f t="shared" si="548"/>
        <v>20.361922012439308</v>
      </c>
    </row>
    <row r="1290" spans="1:15" s="236" customFormat="1" x14ac:dyDescent="0.2">
      <c r="A1290" s="237" t="str">
        <f>name!E$10</f>
        <v>Sales and customer service occupations</v>
      </c>
      <c r="B1290" s="302">
        <v>0.2615865946928369</v>
      </c>
      <c r="C1290" s="302">
        <v>0.39003201860222114</v>
      </c>
      <c r="D1290" s="302">
        <v>0.52246726538501742</v>
      </c>
      <c r="E1290" s="302">
        <f t="shared" si="546"/>
        <v>1.1740858786800756</v>
      </c>
      <c r="F1290" s="303"/>
      <c r="G1290" s="302">
        <v>0.25978123296532246</v>
      </c>
      <c r="H1290" s="302">
        <v>0.46216622748205505</v>
      </c>
      <c r="I1290" s="302">
        <v>0.45740993368813665</v>
      </c>
      <c r="J1290" s="302">
        <f t="shared" si="549"/>
        <v>1.179357394135514</v>
      </c>
      <c r="K1290" s="303"/>
      <c r="L1290" s="302">
        <v>0.32594680406009918</v>
      </c>
      <c r="M1290" s="302">
        <v>0.4904266371236386</v>
      </c>
      <c r="N1290" s="302">
        <v>0.37092604444739696</v>
      </c>
      <c r="O1290" s="302">
        <f t="shared" si="548"/>
        <v>1.1872994856311347</v>
      </c>
    </row>
    <row r="1291" spans="1:15" s="236" customFormat="1" x14ac:dyDescent="0.2">
      <c r="A1291" s="237" t="str">
        <f>name!E$11</f>
        <v>Process, plant and machine operatives</v>
      </c>
      <c r="B1291" s="302">
        <v>0.81223685507193777</v>
      </c>
      <c r="C1291" s="302">
        <v>0.27714440619949099</v>
      </c>
      <c r="D1291" s="302">
        <v>8.6250750479132304E-2</v>
      </c>
      <c r="E1291" s="302">
        <f t="shared" si="546"/>
        <v>1.1756320117505612</v>
      </c>
      <c r="F1291" s="303"/>
      <c r="G1291" s="302">
        <v>0.70575692467711637</v>
      </c>
      <c r="H1291" s="302">
        <v>0.5995734438820568</v>
      </c>
      <c r="I1291" s="302">
        <v>0.11625769991014087</v>
      </c>
      <c r="J1291" s="302">
        <f t="shared" si="549"/>
        <v>1.4215880684693138</v>
      </c>
      <c r="K1291" s="303"/>
      <c r="L1291" s="302">
        <v>0.81586126391403013</v>
      </c>
      <c r="M1291" s="302">
        <v>0.71296546653968862</v>
      </c>
      <c r="N1291" s="302">
        <v>9.8218066831740947E-2</v>
      </c>
      <c r="O1291" s="302">
        <f t="shared" si="548"/>
        <v>1.6270447972854598</v>
      </c>
    </row>
    <row r="1292" spans="1:15" s="236" customFormat="1" x14ac:dyDescent="0.2">
      <c r="A1292" s="237" t="str">
        <f>name!E$12</f>
        <v>Elementary occupations</v>
      </c>
      <c r="B1292" s="302">
        <v>1.2959677641167915</v>
      </c>
      <c r="C1292" s="302">
        <v>1.1118027754449806</v>
      </c>
      <c r="D1292" s="302">
        <v>0.46288310716894976</v>
      </c>
      <c r="E1292" s="302">
        <f t="shared" si="546"/>
        <v>2.8706536467307222</v>
      </c>
      <c r="F1292" s="303"/>
      <c r="G1292" s="302">
        <v>1.1927881344661773</v>
      </c>
      <c r="H1292" s="302">
        <v>1.3906470830206652</v>
      </c>
      <c r="I1292" s="302">
        <v>0.45378575393234788</v>
      </c>
      <c r="J1292" s="302">
        <f t="shared" si="549"/>
        <v>3.0372209714191905</v>
      </c>
      <c r="K1292" s="303"/>
      <c r="L1292" s="302">
        <v>1.2321913939428271</v>
      </c>
      <c r="M1292" s="302">
        <v>1.1397987009087938</v>
      </c>
      <c r="N1292" s="302">
        <v>0.46957415528966856</v>
      </c>
      <c r="O1292" s="302">
        <f t="shared" si="548"/>
        <v>2.8415642501412894</v>
      </c>
    </row>
    <row r="1293" spans="1:15" s="236" customFormat="1" x14ac:dyDescent="0.2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2">
      <c r="A1294" s="244" t="s">
        <v>32</v>
      </c>
      <c r="B1294" s="311">
        <f>SUM(B1284:B1292)</f>
        <v>14.145999999897485</v>
      </c>
      <c r="C1294" s="311">
        <f t="shared" ref="C1294:E1294" si="550">SUM(C1284:C1292)</f>
        <v>8.488999999987394</v>
      </c>
      <c r="D1294" s="311">
        <f t="shared" si="550"/>
        <v>12.679000000261503</v>
      </c>
      <c r="E1294" s="311">
        <f t="shared" si="550"/>
        <v>35.314000000146379</v>
      </c>
      <c r="F1294" s="311"/>
      <c r="G1294" s="311">
        <f t="shared" ref="G1294:J1294" si="551">SUM(G1284:G1292)</f>
        <v>14.006000000040411</v>
      </c>
      <c r="H1294" s="311">
        <f t="shared" si="551"/>
        <v>9.0340000001256247</v>
      </c>
      <c r="I1294" s="311">
        <f t="shared" si="551"/>
        <v>14.558999999905927</v>
      </c>
      <c r="J1294" s="311">
        <f t="shared" si="551"/>
        <v>37.59900000007196</v>
      </c>
      <c r="K1294" s="311"/>
      <c r="L1294" s="311">
        <f t="shared" ref="L1294:O1294" si="552">SUM(L1284:L1292)</f>
        <v>15.061000000002711</v>
      </c>
      <c r="M1294" s="311">
        <f t="shared" si="552"/>
        <v>9.3419999999669621</v>
      </c>
      <c r="N1294" s="311">
        <f t="shared" si="552"/>
        <v>15.610000000099358</v>
      </c>
      <c r="O1294" s="311">
        <f t="shared" si="552"/>
        <v>40.013000000069027</v>
      </c>
    </row>
    <row r="1295" spans="1:15" s="236" customFormat="1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7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16.14062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West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West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West</v>
      </c>
    </row>
    <row r="2" spans="1:32" x14ac:dyDescent="0.2">
      <c r="A2" s="1" t="s">
        <v>536</v>
      </c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MMULT(aggregation!$B$38:$AA$46,'Occ T2'!B8:B33)</f>
        <v>281.71796036085652</v>
      </c>
      <c r="C8" s="11">
        <f t="array" ref="C8:C16">MMULT(aggregation!$B$38:$AA$46,'Occ T2'!C8:C33)</f>
        <v>328.11102486796204</v>
      </c>
      <c r="D8" s="11">
        <f t="array" ref="D8:D16">MMULT(aggregation!$B$38:$AA$46,'Occ T2'!D8:D33)</f>
        <v>336.67165807287438</v>
      </c>
      <c r="E8" s="11">
        <f t="array" ref="E8:E16">MMULT(aggregation!$B$38:$AA$46,'Occ T2'!E8:E33)</f>
        <v>351.00137125683085</v>
      </c>
      <c r="F8" s="11">
        <f t="array" ref="F8:F16">MMULT(aggregation!$B$38:$AA$46,'Occ T2'!F8:F33)</f>
        <v>394.1491291119242</v>
      </c>
      <c r="G8" s="11"/>
      <c r="H8" s="11">
        <f>F8-D8</f>
        <v>57.477471039049817</v>
      </c>
      <c r="I8" s="11">
        <f t="array" ref="I8:I16">MMULT(aggregation!$B$38:$AA$46,'Occ T2'!I8:I33)</f>
        <v>193.56902284861891</v>
      </c>
      <c r="J8" s="11">
        <f>SUM(H8:I8)</f>
        <v>251.04649388766873</v>
      </c>
      <c r="L8" s="10" t="str">
        <f>name!E4</f>
        <v>Managers, directors and senior officials</v>
      </c>
      <c r="M8" s="11">
        <f t="array" ref="M8:M16">MMULT(aggregation!$B$38:$AA$46,'Occ T2'!M8:M33)</f>
        <v>191.47594291485251</v>
      </c>
      <c r="N8" s="11">
        <f t="array" ref="N8:N16">MMULT(aggregation!$B$38:$AA$46,'Occ T2'!N8:N33)</f>
        <v>215.57104300358469</v>
      </c>
      <c r="O8" s="11">
        <f t="array" ref="O8:O16">MMULT(aggregation!$B$38:$AA$46,'Occ T2'!O8:O33)</f>
        <v>215.17471692805645</v>
      </c>
      <c r="P8" s="11">
        <f t="array" ref="P8:P16">MMULT(aggregation!$B$38:$AA$46,'Occ T2'!P8:P33)</f>
        <v>221.5491554564091</v>
      </c>
      <c r="Q8" s="11">
        <f t="array" ref="Q8:Q16">MMULT(aggregation!$B$38:$AA$46,'Occ T2'!Q8:Q33)</f>
        <v>245.15707027255837</v>
      </c>
      <c r="R8" s="11"/>
      <c r="S8" s="11">
        <f>Q8-O8</f>
        <v>29.982353344501917</v>
      </c>
      <c r="T8" s="11">
        <f t="array" ref="T8:T16">MMULT(aggregation!$B$38:$AA$46,'Occ T2'!T8:T33)</f>
        <v>110.50109083492734</v>
      </c>
      <c r="U8" s="11">
        <f>SUM(S8:T8)</f>
        <v>140.48344417942926</v>
      </c>
      <c r="W8" s="10" t="str">
        <f>name!E4</f>
        <v>Managers, directors and senior officials</v>
      </c>
      <c r="X8" s="11">
        <f t="array" ref="X8:X16">MMULT(aggregation!$B$38:$AA$46,'Occ T2'!X8:X33)</f>
        <v>90.242017446004212</v>
      </c>
      <c r="Y8" s="11">
        <f t="array" ref="Y8:Y16">MMULT(aggregation!$B$38:$AA$46,'Occ T2'!Y8:Y33)</f>
        <v>112.53998186437815</v>
      </c>
      <c r="Z8" s="11">
        <f t="array" ref="Z8:Z16">MMULT(aggregation!$B$38:$AA$46,'Occ T2'!Z8:Z33)</f>
        <v>121.49694114481758</v>
      </c>
      <c r="AA8" s="11">
        <f t="array" ref="AA8:AA16">MMULT(aggregation!$B$38:$AA$46,'Occ T2'!AA8:AA33)</f>
        <v>129.45221580042249</v>
      </c>
      <c r="AB8" s="11">
        <f t="array" ref="AB8:AB16">MMULT(aggregation!$B$38:$AA$46,'Occ T2'!AB8:AB33)</f>
        <v>148.99205883936611</v>
      </c>
      <c r="AC8" s="11"/>
      <c r="AD8" s="11">
        <f>AB8-Z8</f>
        <v>27.495117694548526</v>
      </c>
      <c r="AE8" s="11">
        <f t="array" ref="AE8:AE16">MMULT(aggregation!$B$38:$AA$46,'Occ T2'!AE8:AE33)</f>
        <v>83.067932013691575</v>
      </c>
      <c r="AF8" s="11">
        <f>SUM(AD8:AE8)</f>
        <v>110.5630497082401</v>
      </c>
    </row>
    <row r="9" spans="1:32" x14ac:dyDescent="0.2">
      <c r="A9" t="str">
        <f>name!E5</f>
        <v>Professional occupations</v>
      </c>
      <c r="B9" s="11">
        <v>555.82323062112903</v>
      </c>
      <c r="C9" s="11">
        <v>632.66922070562805</v>
      </c>
      <c r="D9" s="11">
        <v>653.26421753907175</v>
      </c>
      <c r="E9" s="11">
        <v>715.63579413435548</v>
      </c>
      <c r="F9" s="11">
        <v>810.33534990681005</v>
      </c>
      <c r="G9" s="11"/>
      <c r="H9" s="11">
        <f t="shared" ref="H9:H16" si="0">F9-D9</f>
        <v>157.0711323677383</v>
      </c>
      <c r="I9" s="11">
        <v>345.1377187620941</v>
      </c>
      <c r="J9" s="11">
        <f t="shared" ref="J9:J15" si="1">SUM(H9:I9)</f>
        <v>502.2088511298324</v>
      </c>
      <c r="L9" s="10" t="str">
        <f>name!E5</f>
        <v>Professional occupations</v>
      </c>
      <c r="M9" s="11">
        <v>295.17830645494951</v>
      </c>
      <c r="N9" s="11">
        <v>328.16954820491509</v>
      </c>
      <c r="O9" s="11">
        <v>333.38023289646492</v>
      </c>
      <c r="P9" s="11">
        <v>361.72784056611818</v>
      </c>
      <c r="Q9" s="11">
        <v>401.98278321750058</v>
      </c>
      <c r="R9" s="11"/>
      <c r="S9" s="11">
        <f t="shared" ref="S9:S16" si="2">Q9-O9</f>
        <v>68.602550321035665</v>
      </c>
      <c r="T9" s="11">
        <v>140.54708298884299</v>
      </c>
      <c r="U9" s="11">
        <f t="shared" ref="U9:U12" si="3">SUM(S9:T9)</f>
        <v>209.14963330987865</v>
      </c>
      <c r="W9" s="10" t="str">
        <f>name!E5</f>
        <v>Professional occupations</v>
      </c>
      <c r="X9" s="11">
        <v>260.64492416618015</v>
      </c>
      <c r="Y9" s="11">
        <v>304.49967250071336</v>
      </c>
      <c r="Z9" s="11">
        <v>319.88398464260774</v>
      </c>
      <c r="AA9" s="11">
        <v>353.90795356823725</v>
      </c>
      <c r="AB9" s="11">
        <v>408.35256668931061</v>
      </c>
      <c r="AC9" s="11"/>
      <c r="AD9" s="11">
        <f t="shared" ref="AD9:AD16" si="4">AB9-Z9</f>
        <v>88.468582046702863</v>
      </c>
      <c r="AE9" s="11">
        <v>204.59063577325111</v>
      </c>
      <c r="AF9" s="11">
        <f t="shared" ref="AF9:AF12" si="5">SUM(AD9:AE9)</f>
        <v>293.05921781995397</v>
      </c>
    </row>
    <row r="10" spans="1:32" x14ac:dyDescent="0.2">
      <c r="A10" t="str">
        <f>name!E6</f>
        <v>Associate professional occupations</v>
      </c>
      <c r="B10" s="11">
        <v>332.20088542727456</v>
      </c>
      <c r="C10" s="11">
        <v>361.74689249960034</v>
      </c>
      <c r="D10" s="11">
        <v>375.74934036250482</v>
      </c>
      <c r="E10" s="11">
        <v>375.92965010188578</v>
      </c>
      <c r="F10" s="11">
        <v>411.60929315144847</v>
      </c>
      <c r="G10" s="11"/>
      <c r="H10" s="11">
        <f t="shared" si="0"/>
        <v>35.859952788943644</v>
      </c>
      <c r="I10" s="11">
        <v>180.55431933469424</v>
      </c>
      <c r="J10" s="11">
        <f t="shared" si="1"/>
        <v>216.41427212363789</v>
      </c>
      <c r="L10" s="10" t="str">
        <f>name!E6</f>
        <v>Associate professional occupations</v>
      </c>
      <c r="M10" s="11">
        <v>175.23675018487666</v>
      </c>
      <c r="N10" s="11">
        <v>185.46540158946547</v>
      </c>
      <c r="O10" s="11">
        <v>190.14991574668733</v>
      </c>
      <c r="P10" s="11">
        <v>180.88637216663847</v>
      </c>
      <c r="Q10" s="11">
        <v>189.53789158201334</v>
      </c>
      <c r="R10" s="11"/>
      <c r="S10" s="11">
        <f t="shared" si="2"/>
        <v>-0.6120241646739828</v>
      </c>
      <c r="T10" s="11">
        <v>69.899214146251921</v>
      </c>
      <c r="U10" s="11">
        <f t="shared" si="3"/>
        <v>69.287189981577939</v>
      </c>
      <c r="W10" s="10" t="str">
        <f>name!E6</f>
        <v>Associate professional occupations</v>
      </c>
      <c r="X10" s="11">
        <v>156.96413524239804</v>
      </c>
      <c r="Y10" s="11">
        <v>176.28149091013472</v>
      </c>
      <c r="Z10" s="11">
        <v>185.5994246158175</v>
      </c>
      <c r="AA10" s="11">
        <v>195.04327793524737</v>
      </c>
      <c r="AB10" s="11">
        <v>222.07140156943478</v>
      </c>
      <c r="AC10" s="11"/>
      <c r="AD10" s="11">
        <f t="shared" si="4"/>
        <v>36.471976953617286</v>
      </c>
      <c r="AE10" s="11">
        <v>110.65510518844235</v>
      </c>
      <c r="AF10" s="11">
        <f t="shared" si="5"/>
        <v>147.12708214205963</v>
      </c>
    </row>
    <row r="11" spans="1:32" x14ac:dyDescent="0.2">
      <c r="A11" t="str">
        <f>name!E7</f>
        <v>Administrative and secretarial occupations</v>
      </c>
      <c r="B11" s="11">
        <v>290.22815410380076</v>
      </c>
      <c r="C11" s="11">
        <v>283.27716834037346</v>
      </c>
      <c r="D11" s="11">
        <v>294.34089992140406</v>
      </c>
      <c r="E11" s="11">
        <v>279.53997272082472</v>
      </c>
      <c r="F11" s="11">
        <v>261.62983253168687</v>
      </c>
      <c r="G11" s="11"/>
      <c r="H11" s="11">
        <f t="shared" si="0"/>
        <v>-32.711067389717186</v>
      </c>
      <c r="I11" s="11">
        <v>139.84064291799467</v>
      </c>
      <c r="J11" s="11">
        <f t="shared" si="1"/>
        <v>107.12957552827748</v>
      </c>
      <c r="L11" s="10" t="str">
        <f>name!E7</f>
        <v>Administrative and secretarial occupations</v>
      </c>
      <c r="M11" s="11">
        <v>67.416262462639864</v>
      </c>
      <c r="N11" s="11">
        <v>60.598452195988671</v>
      </c>
      <c r="O11" s="11">
        <v>71.309417556879822</v>
      </c>
      <c r="P11" s="11">
        <v>69.364268814114681</v>
      </c>
      <c r="Q11" s="11">
        <v>74.287193683110075</v>
      </c>
      <c r="R11" s="11"/>
      <c r="S11" s="11">
        <f t="shared" si="2"/>
        <v>2.9777761262302533</v>
      </c>
      <c r="T11" s="11">
        <v>26.096870569859899</v>
      </c>
      <c r="U11" s="11">
        <f t="shared" si="3"/>
        <v>29.074646696090152</v>
      </c>
      <c r="W11" s="10" t="str">
        <f>name!E7</f>
        <v>Administrative and secretarial occupations</v>
      </c>
      <c r="X11" s="11">
        <v>222.8118916411612</v>
      </c>
      <c r="Y11" s="11">
        <v>222.67871614438477</v>
      </c>
      <c r="Z11" s="11">
        <v>223.03148236452398</v>
      </c>
      <c r="AA11" s="11">
        <v>210.17570390671011</v>
      </c>
      <c r="AB11" s="11">
        <v>187.34263884857691</v>
      </c>
      <c r="AC11" s="11"/>
      <c r="AD11" s="11">
        <f t="shared" si="4"/>
        <v>-35.68884351594707</v>
      </c>
      <c r="AE11" s="11">
        <v>113.74377234813477</v>
      </c>
      <c r="AF11" s="11">
        <f t="shared" si="5"/>
        <v>78.054928832187699</v>
      </c>
    </row>
    <row r="12" spans="1:32" x14ac:dyDescent="0.2">
      <c r="A12" t="str">
        <f>name!E8</f>
        <v>Skilled trades occupations</v>
      </c>
      <c r="B12" s="11">
        <v>331.94362953220332</v>
      </c>
      <c r="C12" s="11">
        <v>330.38412255295623</v>
      </c>
      <c r="D12" s="11">
        <v>298.01318493355501</v>
      </c>
      <c r="E12" s="11">
        <v>307.18073602606728</v>
      </c>
      <c r="F12" s="11">
        <v>306.49084511758724</v>
      </c>
      <c r="G12" s="11"/>
      <c r="H12" s="11">
        <f t="shared" si="0"/>
        <v>8.4776601840322314</v>
      </c>
      <c r="I12" s="11">
        <v>131.92638561035665</v>
      </c>
      <c r="J12" s="11">
        <f t="shared" si="1"/>
        <v>140.40404579438888</v>
      </c>
      <c r="L12" s="10" t="str">
        <f>name!E8</f>
        <v>Skilled trades occupations</v>
      </c>
      <c r="M12" s="11">
        <v>300.34926880537574</v>
      </c>
      <c r="N12" s="11">
        <v>296.38557833778736</v>
      </c>
      <c r="O12" s="11">
        <v>261.88303606683479</v>
      </c>
      <c r="P12" s="11">
        <v>265.80619512969906</v>
      </c>
      <c r="Q12" s="11">
        <v>260.64074729702543</v>
      </c>
      <c r="R12" s="11"/>
      <c r="S12" s="11">
        <f t="shared" si="2"/>
        <v>-1.2422887698093632</v>
      </c>
      <c r="T12" s="11">
        <v>106.5237016525446</v>
      </c>
      <c r="U12" s="11">
        <f t="shared" si="3"/>
        <v>105.28141288273524</v>
      </c>
      <c r="W12" s="10" t="str">
        <f>name!E8</f>
        <v>Skilled trades occupations</v>
      </c>
      <c r="X12" s="11">
        <v>31.594360726827453</v>
      </c>
      <c r="Y12" s="11">
        <v>33.998544215168728</v>
      </c>
      <c r="Z12" s="11">
        <v>36.130148866720091</v>
      </c>
      <c r="AA12" s="11">
        <v>41.374540896368217</v>
      </c>
      <c r="AB12" s="11">
        <v>45.850097820561516</v>
      </c>
      <c r="AC12" s="11"/>
      <c r="AD12" s="11">
        <f t="shared" si="4"/>
        <v>9.7199489538414241</v>
      </c>
      <c r="AE12" s="11">
        <v>25.402683957812069</v>
      </c>
      <c r="AF12" s="11">
        <f t="shared" si="5"/>
        <v>35.122632911653497</v>
      </c>
    </row>
    <row r="13" spans="1:32" x14ac:dyDescent="0.2">
      <c r="A13" t="str">
        <f>name!E9</f>
        <v>Caring, leisure and other service occupations</v>
      </c>
      <c r="B13" s="11">
        <v>290.07070785869405</v>
      </c>
      <c r="C13" s="11">
        <v>294.43876710187271</v>
      </c>
      <c r="D13" s="11">
        <v>277.08533235276252</v>
      </c>
      <c r="E13" s="11">
        <v>303.49396593889469</v>
      </c>
      <c r="F13" s="11">
        <v>336.06765480598972</v>
      </c>
      <c r="G13" s="11"/>
      <c r="H13" s="11">
        <f t="shared" si="0"/>
        <v>58.982322453227198</v>
      </c>
      <c r="I13" s="11">
        <v>171.64198305127127</v>
      </c>
      <c r="J13" s="11">
        <f>SUM(H13:I13)</f>
        <v>230.62430550449847</v>
      </c>
      <c r="L13" s="10" t="str">
        <f>name!E9</f>
        <v>Caring, leisure and other service occupations</v>
      </c>
      <c r="M13" s="11">
        <v>41.310348540656179</v>
      </c>
      <c r="N13" s="11">
        <v>42.225965023111968</v>
      </c>
      <c r="O13" s="11">
        <v>42.63726299840944</v>
      </c>
      <c r="P13" s="11">
        <v>48.969167830133522</v>
      </c>
      <c r="Q13" s="11">
        <v>57.646608621921985</v>
      </c>
      <c r="R13" s="11"/>
      <c r="S13" s="11">
        <f t="shared" si="2"/>
        <v>15.009345623512544</v>
      </c>
      <c r="T13" s="11">
        <v>22.424748431446801</v>
      </c>
      <c r="U13" s="11">
        <f>SUM(S13:T13)</f>
        <v>37.434094054959345</v>
      </c>
      <c r="W13" s="10" t="str">
        <f>name!E9</f>
        <v>Caring, leisure and other service occupations</v>
      </c>
      <c r="X13" s="11">
        <v>248.76035931803787</v>
      </c>
      <c r="Y13" s="11">
        <v>252.21280207876086</v>
      </c>
      <c r="Z13" s="11">
        <v>234.44806935435309</v>
      </c>
      <c r="AA13" s="11">
        <v>254.52479810876113</v>
      </c>
      <c r="AB13" s="11">
        <v>278.42104618406768</v>
      </c>
      <c r="AC13" s="11"/>
      <c r="AD13" s="11">
        <f t="shared" si="4"/>
        <v>43.972976829714582</v>
      </c>
      <c r="AE13" s="11">
        <v>149.21723461982444</v>
      </c>
      <c r="AF13" s="11">
        <f>SUM(AD13:AE13)</f>
        <v>193.19021144953902</v>
      </c>
    </row>
    <row r="14" spans="1:32" x14ac:dyDescent="0.2">
      <c r="A14" t="str">
        <f>name!E10</f>
        <v>Sales and customer service occupations</v>
      </c>
      <c r="B14" s="11">
        <v>256.84031370282202</v>
      </c>
      <c r="C14" s="11">
        <v>251.30591714714487</v>
      </c>
      <c r="D14" s="11">
        <v>253.42954939024094</v>
      </c>
      <c r="E14" s="11">
        <v>255.34052772626313</v>
      </c>
      <c r="F14" s="11">
        <v>254.44754524875714</v>
      </c>
      <c r="G14" s="11"/>
      <c r="H14" s="11">
        <f t="shared" si="0"/>
        <v>1.0179958585162012</v>
      </c>
      <c r="I14" s="11">
        <v>118.26458225485899</v>
      </c>
      <c r="J14" s="11">
        <f t="shared" si="1"/>
        <v>119.28257811337519</v>
      </c>
      <c r="L14" s="10" t="str">
        <f>name!E10</f>
        <v>Sales and customer service occupations</v>
      </c>
      <c r="M14" s="11">
        <v>96.905498737978846</v>
      </c>
      <c r="N14" s="11">
        <v>94.272253669857349</v>
      </c>
      <c r="O14" s="11">
        <v>97.389218694637364</v>
      </c>
      <c r="P14" s="11">
        <v>100.21795090521107</v>
      </c>
      <c r="Q14" s="11">
        <v>103.90146183607996</v>
      </c>
      <c r="R14" s="11"/>
      <c r="S14" s="11">
        <f t="shared" si="2"/>
        <v>6.5122431414425961</v>
      </c>
      <c r="T14" s="11">
        <v>34.163579881829151</v>
      </c>
      <c r="U14" s="11">
        <f t="shared" ref="U14:U15" si="6">SUM(S14:T14)</f>
        <v>40.675823023271747</v>
      </c>
      <c r="W14" s="10" t="str">
        <f>name!E10</f>
        <v>Sales and customer service occupations</v>
      </c>
      <c r="X14" s="11">
        <v>159.93481496484333</v>
      </c>
      <c r="Y14" s="11">
        <v>157.03366347728803</v>
      </c>
      <c r="Z14" s="11">
        <v>156.04033069560333</v>
      </c>
      <c r="AA14" s="11">
        <v>155.12257682105175</v>
      </c>
      <c r="AB14" s="11">
        <v>150.54608341267715</v>
      </c>
      <c r="AC14" s="11"/>
      <c r="AD14" s="11">
        <f t="shared" si="4"/>
        <v>-5.4942472829261817</v>
      </c>
      <c r="AE14" s="11">
        <v>84.101002373029871</v>
      </c>
      <c r="AF14" s="11">
        <f t="shared" ref="AF14:AF15" si="7">SUM(AD14:AE14)</f>
        <v>78.60675509010369</v>
      </c>
    </row>
    <row r="15" spans="1:32" x14ac:dyDescent="0.2">
      <c r="A15" t="str">
        <f>name!E11</f>
        <v>Process, plant and machine operatives</v>
      </c>
      <c r="B15" s="11">
        <v>159.49949243494439</v>
      </c>
      <c r="C15" s="11">
        <v>162.35139992303468</v>
      </c>
      <c r="D15" s="11">
        <v>144.73576200901678</v>
      </c>
      <c r="E15" s="11">
        <v>163.64072742509563</v>
      </c>
      <c r="F15" s="11">
        <v>165.50577506208251</v>
      </c>
      <c r="G15" s="11"/>
      <c r="H15" s="11">
        <f t="shared" si="0"/>
        <v>20.770013053065725</v>
      </c>
      <c r="I15" s="11">
        <v>75.347336569075338</v>
      </c>
      <c r="J15" s="11">
        <f t="shared" si="1"/>
        <v>96.117349622141063</v>
      </c>
      <c r="L15" s="10" t="str">
        <f>name!E11</f>
        <v>Process, plant and machine operatives</v>
      </c>
      <c r="M15" s="11">
        <v>137.87786954293162</v>
      </c>
      <c r="N15" s="11">
        <v>138.77167663263526</v>
      </c>
      <c r="O15" s="11">
        <v>123.86257879413557</v>
      </c>
      <c r="P15" s="11">
        <v>135.83182843252263</v>
      </c>
      <c r="Q15" s="11">
        <v>134.25549969599194</v>
      </c>
      <c r="R15" s="11"/>
      <c r="S15" s="11">
        <f t="shared" si="2"/>
        <v>10.392920901856371</v>
      </c>
      <c r="T15" s="11">
        <v>60.269650406597854</v>
      </c>
      <c r="U15" s="11">
        <f t="shared" si="6"/>
        <v>70.662571308454233</v>
      </c>
      <c r="W15" s="10" t="str">
        <f>name!E11</f>
        <v>Process, plant and machine operatives</v>
      </c>
      <c r="X15" s="11">
        <v>21.62162289201288</v>
      </c>
      <c r="Y15" s="11">
        <v>23.579723290399514</v>
      </c>
      <c r="Z15" s="11">
        <v>20.873183214881418</v>
      </c>
      <c r="AA15" s="11">
        <v>27.808898992572733</v>
      </c>
      <c r="AB15" s="11">
        <v>31.250275366090527</v>
      </c>
      <c r="AC15" s="11"/>
      <c r="AD15" s="11">
        <f t="shared" si="4"/>
        <v>10.377092151209109</v>
      </c>
      <c r="AE15" s="11">
        <v>15.07768616247748</v>
      </c>
      <c r="AF15" s="11">
        <f t="shared" si="7"/>
        <v>25.454778313686589</v>
      </c>
    </row>
    <row r="16" spans="1:32" x14ac:dyDescent="0.2">
      <c r="A16" t="str">
        <f>name!E12</f>
        <v>Elementary occupations</v>
      </c>
      <c r="B16" s="11">
        <v>319.52762595538832</v>
      </c>
      <c r="C16" s="11">
        <v>317.82248686107948</v>
      </c>
      <c r="D16" s="11">
        <v>296.29705541503404</v>
      </c>
      <c r="E16" s="11">
        <v>306.89225466411546</v>
      </c>
      <c r="F16" s="11">
        <v>299.85757506100578</v>
      </c>
      <c r="G16" s="11"/>
      <c r="H16" s="11">
        <f t="shared" si="0"/>
        <v>3.5605196459717376</v>
      </c>
      <c r="I16" s="11">
        <v>142.44827251221452</v>
      </c>
      <c r="J16" s="11">
        <f>SUM(H16:I16)</f>
        <v>146.00879215818625</v>
      </c>
      <c r="L16" s="10" t="str">
        <f>name!E12</f>
        <v>Elementary occupations</v>
      </c>
      <c r="M16" s="11">
        <v>173.37775235507348</v>
      </c>
      <c r="N16" s="11">
        <v>157.9990813440532</v>
      </c>
      <c r="O16" s="11">
        <v>155.75262031627278</v>
      </c>
      <c r="P16" s="11">
        <v>163.27922069506437</v>
      </c>
      <c r="Q16" s="11">
        <v>156.58874379028262</v>
      </c>
      <c r="R16" s="11"/>
      <c r="S16" s="11">
        <f t="shared" si="2"/>
        <v>0.83612347400983822</v>
      </c>
      <c r="T16" s="11">
        <v>60.756189431862659</v>
      </c>
      <c r="U16" s="11">
        <f>SUM(S16:T16)</f>
        <v>61.592312905872497</v>
      </c>
      <c r="W16" s="10" t="str">
        <f>name!E12</f>
        <v>Elementary occupations</v>
      </c>
      <c r="X16" s="11">
        <v>146.14987360031449</v>
      </c>
      <c r="Y16" s="11">
        <v>159.82340551702546</v>
      </c>
      <c r="Z16" s="11">
        <v>140.54443509876131</v>
      </c>
      <c r="AA16" s="11">
        <v>143.6130339690516</v>
      </c>
      <c r="AB16" s="11">
        <v>143.26883127072372</v>
      </c>
      <c r="AC16" s="11"/>
      <c r="AD16" s="11">
        <f t="shared" si="4"/>
        <v>2.724396171962411</v>
      </c>
      <c r="AE16" s="11">
        <v>81.692083080351864</v>
      </c>
      <c r="AF16" s="11">
        <f>SUM(AD16:AE16)</f>
        <v>84.416479252314275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3" t="str">
        <f>name!E3</f>
        <v>All occupations</v>
      </c>
      <c r="B18" s="33">
        <f>SUM(B8:B16)</f>
        <v>2817.8519999971131</v>
      </c>
      <c r="C18" s="33">
        <f>SUM(C8:C16)</f>
        <v>2962.1069999996516</v>
      </c>
      <c r="D18" s="33">
        <f>SUM(D8:D16)</f>
        <v>2929.5869999964643</v>
      </c>
      <c r="E18" s="33">
        <f>SUM(E8:E16)</f>
        <v>3058.6549999943331</v>
      </c>
      <c r="F18" s="33">
        <f>SUM(F8:F16)</f>
        <v>3240.0929999972918</v>
      </c>
      <c r="G18" s="11"/>
      <c r="H18" s="33">
        <f>SUM(H8:H16)</f>
        <v>310.50600000082767</v>
      </c>
      <c r="I18" s="33">
        <f>SUM(I8:I16)</f>
        <v>1498.7302638611789</v>
      </c>
      <c r="J18" s="33">
        <f>SUM(H18:I18)</f>
        <v>1809.2362638620066</v>
      </c>
      <c r="L18" s="231" t="str">
        <f>name!E3</f>
        <v>All occupations</v>
      </c>
      <c r="M18" s="33">
        <f>SUM(M8:M16)</f>
        <v>1479.1279999993344</v>
      </c>
      <c r="N18" s="33">
        <f>SUM(N8:N16)</f>
        <v>1519.4590000013991</v>
      </c>
      <c r="O18" s="33">
        <f>SUM(O8:O16)</f>
        <v>1491.5389999983781</v>
      </c>
      <c r="P18" s="33">
        <f>SUM(P8:P16)</f>
        <v>1547.6319999959112</v>
      </c>
      <c r="Q18" s="33">
        <f>SUM(Q8:Q16)</f>
        <v>1623.9979999964846</v>
      </c>
      <c r="R18" s="11"/>
      <c r="S18" s="33">
        <f>SUM(S8:S16)</f>
        <v>132.45899999810584</v>
      </c>
      <c r="T18" s="33">
        <f>SUM(T8:T16)</f>
        <v>631.18212834416329</v>
      </c>
      <c r="U18" s="33">
        <f>SUM(S18:T18)</f>
        <v>763.6411283422691</v>
      </c>
      <c r="W18" s="231" t="str">
        <f>name!E3</f>
        <v>All occupations</v>
      </c>
      <c r="X18" s="33">
        <f>SUM(X8:X16)</f>
        <v>1338.7239999977796</v>
      </c>
      <c r="Y18" s="33">
        <f>SUM(Y8:Y16)</f>
        <v>1442.6479999982535</v>
      </c>
      <c r="Z18" s="33">
        <f>SUM(Z8:Z16)</f>
        <v>1438.0479999980862</v>
      </c>
      <c r="AA18" s="33">
        <f>SUM(AA8:AA16)</f>
        <v>1511.0229999984228</v>
      </c>
      <c r="AB18" s="33">
        <f>SUM(AB8:AB16)</f>
        <v>1616.0950000008088</v>
      </c>
      <c r="AC18" s="11"/>
      <c r="AD18" s="33">
        <f>SUM(AD8:AD16)</f>
        <v>178.04700000272294</v>
      </c>
      <c r="AE18" s="33">
        <f>SUM(AE8:AE16)</f>
        <v>867.54813551701557</v>
      </c>
      <c r="AF18" s="33">
        <f>SUM(AD18:AE18)</f>
        <v>1045.5951355197385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2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2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2">
      <c r="A26" t="str">
        <f>$A$8</f>
        <v>Managers, directors and senior officials</v>
      </c>
      <c r="B26" s="17">
        <f t="shared" ref="B26:F34" si="8">B8/B$18*100</f>
        <v>9.9976137980683575</v>
      </c>
      <c r="C26" s="17">
        <f t="shared" si="8"/>
        <v>11.076947080844839</v>
      </c>
      <c r="D26" s="17">
        <f t="shared" si="8"/>
        <v>11.492120154591099</v>
      </c>
      <c r="E26" s="17">
        <f t="shared" si="8"/>
        <v>11.475677095242228</v>
      </c>
      <c r="F26" s="17">
        <f t="shared" si="8"/>
        <v>12.164747404233571</v>
      </c>
      <c r="G26" s="11"/>
      <c r="H26" s="39">
        <f>IF(D8&gt;0,(H8/D8)*100,0)</f>
        <v>17.072263037540424</v>
      </c>
      <c r="I26" s="39">
        <f>IF(D8&gt;0,(I8/D8)*100,0)</f>
        <v>57.494896943989225</v>
      </c>
      <c r="J26" s="39">
        <f>IF(D8&gt;0,(J8/D8)*100,0)</f>
        <v>74.567159981529656</v>
      </c>
      <c r="L26" t="str">
        <f>$A$8</f>
        <v>Managers, directors and senior officials</v>
      </c>
      <c r="M26" s="17">
        <f t="shared" ref="M26:Q26" si="9">M8/M$18*100</f>
        <v>12.94519087698554</v>
      </c>
      <c r="N26" s="17">
        <f t="shared" si="9"/>
        <v>14.187355039088661</v>
      </c>
      <c r="O26" s="17">
        <f t="shared" si="9"/>
        <v>14.426355390525519</v>
      </c>
      <c r="P26" s="17">
        <f t="shared" si="9"/>
        <v>14.31536408248178</v>
      </c>
      <c r="Q26" s="17">
        <f t="shared" si="9"/>
        <v>15.095897302403639</v>
      </c>
      <c r="R26" s="11"/>
      <c r="S26" s="39">
        <f>IF(O8&gt;0,(S8/O8)*100,0)</f>
        <v>13.933957377774314</v>
      </c>
      <c r="T26" s="39">
        <f>IF(O8&gt;0,(T8/O8)*100,0)</f>
        <v>51.354123947505094</v>
      </c>
      <c r="U26" s="39">
        <f>IF(O8&gt;0,(U8/O8)*100,0)</f>
        <v>65.288081325279407</v>
      </c>
      <c r="W26" t="str">
        <f>$A$8</f>
        <v>Managers, directors and senior officials</v>
      </c>
      <c r="X26" s="17">
        <f t="shared" ref="X26:AB26" si="10">X8/X$18*100</f>
        <v>6.7408978584199488</v>
      </c>
      <c r="Y26" s="17">
        <f t="shared" si="10"/>
        <v>7.8009314721619134</v>
      </c>
      <c r="Z26" s="17">
        <f t="shared" si="10"/>
        <v>8.4487403163857717</v>
      </c>
      <c r="AA26" s="17">
        <f t="shared" si="10"/>
        <v>8.5671902942945017</v>
      </c>
      <c r="AB26" s="17">
        <f t="shared" si="10"/>
        <v>9.2192636472046239</v>
      </c>
      <c r="AC26" s="11"/>
      <c r="AD26" s="39">
        <f>IF(Z8&gt;0,(AD8/Z8)*100,0)</f>
        <v>22.630296232541262</v>
      </c>
      <c r="AE26" s="39">
        <f>IF(Z8&gt;0,(AE8/Z8)*100,0)</f>
        <v>68.370389600738363</v>
      </c>
      <c r="AF26" s="39">
        <f>IF(Z8&gt;0,(AF8/Z8)*100,0)</f>
        <v>91.000685833279633</v>
      </c>
    </row>
    <row r="27" spans="1:32" x14ac:dyDescent="0.2">
      <c r="A27" t="str">
        <f>$A$9</f>
        <v>Professional occupations</v>
      </c>
      <c r="B27" s="17">
        <f t="shared" si="8"/>
        <v>19.725068265533409</v>
      </c>
      <c r="C27" s="17">
        <f t="shared" si="8"/>
        <v>21.358756476579085</v>
      </c>
      <c r="D27" s="17">
        <f t="shared" si="8"/>
        <v>22.298850231785579</v>
      </c>
      <c r="E27" s="17">
        <f t="shared" si="8"/>
        <v>23.397074666338028</v>
      </c>
      <c r="F27" s="17">
        <f t="shared" si="8"/>
        <v>25.009632436707445</v>
      </c>
      <c r="G27" s="11"/>
      <c r="H27" s="39">
        <f>IF(D9&gt;0,(H9/D9)*100,0)</f>
        <v>24.044043459083824</v>
      </c>
      <c r="I27" s="39">
        <f t="shared" ref="I27:I36" si="11">IF(D9&gt;0,(I9/D9)*100,0)</f>
        <v>52.832791004881784</v>
      </c>
      <c r="J27" s="39">
        <f t="shared" ref="J27:J36" si="12">IF(D9&gt;0,(J9/D9)*100,0)</f>
        <v>76.876834463965622</v>
      </c>
      <c r="L27" t="str">
        <f>$A$9</f>
        <v>Professional occupations</v>
      </c>
      <c r="M27" s="17">
        <f t="shared" ref="M27:Q27" si="13">M9/M$18*100</f>
        <v>19.95623816566804</v>
      </c>
      <c r="N27" s="17">
        <f t="shared" si="13"/>
        <v>21.597788963348989</v>
      </c>
      <c r="O27" s="17">
        <f t="shared" si="13"/>
        <v>22.351425802263797</v>
      </c>
      <c r="P27" s="17">
        <f t="shared" si="13"/>
        <v>23.372987930404246</v>
      </c>
      <c r="Q27" s="17">
        <f t="shared" si="13"/>
        <v>24.752664918206225</v>
      </c>
      <c r="R27" s="11"/>
      <c r="S27" s="39">
        <f t="shared" ref="S27:S34" si="14">IF(O9&gt;0,(S9/O9)*100,0)</f>
        <v>20.577869816996913</v>
      </c>
      <c r="T27" s="39">
        <f t="shared" ref="T27:T34" si="15">IF(O9&gt;0,(T9/O9)*100,0)</f>
        <v>42.158193294109161</v>
      </c>
      <c r="U27" s="39">
        <f t="shared" ref="U27:U34" si="16">IF(O9&gt;0,(U9/O9)*100,0)</f>
        <v>62.736063111106077</v>
      </c>
      <c r="W27" t="str">
        <f>$A$9</f>
        <v>Professional occupations</v>
      </c>
      <c r="X27" s="17">
        <f t="shared" ref="X27:AB27" si="17">X9/X$18*100</f>
        <v>19.46965350338176</v>
      </c>
      <c r="Y27" s="17">
        <f t="shared" si="17"/>
        <v>21.10699716778327</v>
      </c>
      <c r="Z27" s="17">
        <f t="shared" si="17"/>
        <v>22.244319010424789</v>
      </c>
      <c r="AA27" s="17">
        <f t="shared" si="17"/>
        <v>23.42174497466992</v>
      </c>
      <c r="AB27" s="17">
        <f t="shared" si="17"/>
        <v>25.267856573351583</v>
      </c>
      <c r="AC27" s="11"/>
      <c r="AD27" s="39">
        <f t="shared" ref="AD27:AD34" si="18">IF(Z9&gt;0,(AD9/Z9)*100,0)</f>
        <v>27.656458683151925</v>
      </c>
      <c r="AE27" s="39">
        <f t="shared" ref="AE27:AE34" si="19">IF(Z9&gt;0,(AE9/Z9)*100,0)</f>
        <v>63.95776143711327</v>
      </c>
      <c r="AF27" s="39">
        <f t="shared" ref="AF27:AF34" si="20">IF(Z9&gt;0,(AF9/Z9)*100,0)</f>
        <v>91.614220120265202</v>
      </c>
    </row>
    <row r="28" spans="1:32" x14ac:dyDescent="0.2">
      <c r="A28" t="str">
        <f>$A$10</f>
        <v>Associate professional occupations</v>
      </c>
      <c r="B28" s="17">
        <f t="shared" si="8"/>
        <v>11.789153065086984</v>
      </c>
      <c r="C28" s="17">
        <f t="shared" si="8"/>
        <v>12.212485656312985</v>
      </c>
      <c r="D28" s="17">
        <f t="shared" si="8"/>
        <v>12.826017468092202</v>
      </c>
      <c r="E28" s="17">
        <f t="shared" si="8"/>
        <v>12.290684961284692</v>
      </c>
      <c r="F28" s="17">
        <f t="shared" si="8"/>
        <v>12.703625888262851</v>
      </c>
      <c r="G28" s="11"/>
      <c r="H28" s="39">
        <f t="shared" ref="H28:H34" si="21">IF(D10&gt;0,(H10/D10)*100,0)</f>
        <v>9.5435836971390806</v>
      </c>
      <c r="I28" s="39">
        <f t="shared" si="11"/>
        <v>48.051799415137801</v>
      </c>
      <c r="J28" s="39">
        <f t="shared" si="12"/>
        <v>57.595383112276878</v>
      </c>
      <c r="L28" t="str">
        <f>$A$10</f>
        <v>Associate professional occupations</v>
      </c>
      <c r="M28" s="17">
        <f t="shared" ref="M28:Q28" si="22">M10/M$18*100</f>
        <v>11.847301260266557</v>
      </c>
      <c r="N28" s="17">
        <f t="shared" si="22"/>
        <v>12.206015535088127</v>
      </c>
      <c r="O28" s="17">
        <f t="shared" si="22"/>
        <v>12.748571492055797</v>
      </c>
      <c r="P28" s="17">
        <f t="shared" si="22"/>
        <v>11.687944690153497</v>
      </c>
      <c r="Q28" s="17">
        <f t="shared" si="22"/>
        <v>11.671066810576344</v>
      </c>
      <c r="R28" s="11"/>
      <c r="S28" s="39">
        <f t="shared" si="14"/>
        <v>-0.32186402095981215</v>
      </c>
      <c r="T28" s="39">
        <f t="shared" si="15"/>
        <v>36.760055281523137</v>
      </c>
      <c r="U28" s="39">
        <f t="shared" si="16"/>
        <v>36.438191260563322</v>
      </c>
      <c r="W28" t="str">
        <f>$A$10</f>
        <v>Associate professional occupations</v>
      </c>
      <c r="X28" s="17">
        <f t="shared" ref="X28:AB28" si="23">X10/X$18*100</f>
        <v>11.724906346839107</v>
      </c>
      <c r="Y28" s="17">
        <f t="shared" si="23"/>
        <v>12.21930026661723</v>
      </c>
      <c r="Z28" s="17">
        <f t="shared" si="23"/>
        <v>12.906344198250997</v>
      </c>
      <c r="AA28" s="17">
        <f t="shared" si="23"/>
        <v>12.908028397678326</v>
      </c>
      <c r="AB28" s="17">
        <f t="shared" si="23"/>
        <v>13.741234368606031</v>
      </c>
      <c r="AC28" s="11"/>
      <c r="AD28" s="39">
        <f t="shared" si="18"/>
        <v>19.650910572116615</v>
      </c>
      <c r="AE28" s="39">
        <f t="shared" si="19"/>
        <v>59.620392367860767</v>
      </c>
      <c r="AF28" s="39">
        <f t="shared" si="20"/>
        <v>79.271302939977389</v>
      </c>
    </row>
    <row r="29" spans="1:32" x14ac:dyDescent="0.2">
      <c r="A29" t="str">
        <f>$A$11</f>
        <v>Administrative and secretarial occupations</v>
      </c>
      <c r="B29" s="17">
        <f t="shared" si="8"/>
        <v>10.299623759661547</v>
      </c>
      <c r="C29" s="17">
        <f t="shared" si="8"/>
        <v>9.5633671687216832</v>
      </c>
      <c r="D29" s="17">
        <f t="shared" si="8"/>
        <v>10.047180709149764</v>
      </c>
      <c r="E29" s="17">
        <f t="shared" si="8"/>
        <v>9.1393103413540473</v>
      </c>
      <c r="F29" s="17">
        <f t="shared" si="8"/>
        <v>8.0747630556254268</v>
      </c>
      <c r="G29" s="11"/>
      <c r="H29" s="39">
        <f t="shared" si="21"/>
        <v>-11.113327233303904</v>
      </c>
      <c r="I29" s="39">
        <f t="shared" si="11"/>
        <v>47.509755849538884</v>
      </c>
      <c r="J29" s="39">
        <f t="shared" si="12"/>
        <v>36.396428616234985</v>
      </c>
      <c r="L29" t="str">
        <f>$A$11</f>
        <v>Administrative and secretarial occupations</v>
      </c>
      <c r="M29" s="17">
        <f t="shared" ref="M29:Q29" si="24">M11/M$18*100</f>
        <v>4.5578382981506804</v>
      </c>
      <c r="N29" s="17">
        <f t="shared" si="24"/>
        <v>3.9881597460630971</v>
      </c>
      <c r="O29" s="17">
        <f t="shared" si="24"/>
        <v>4.7809287961600306</v>
      </c>
      <c r="P29" s="17">
        <f t="shared" si="24"/>
        <v>4.4819613974315562</v>
      </c>
      <c r="Q29" s="17">
        <f t="shared" si="24"/>
        <v>4.5743402198322212</v>
      </c>
      <c r="R29" s="11"/>
      <c r="S29" s="39">
        <f t="shared" si="14"/>
        <v>4.1758525426954103</v>
      </c>
      <c r="T29" s="39">
        <f t="shared" si="15"/>
        <v>36.596667682839758</v>
      </c>
      <c r="U29" s="39">
        <f t="shared" si="16"/>
        <v>40.772520225535168</v>
      </c>
      <c r="W29" t="str">
        <f>$A$11</f>
        <v>Administrative and secretarial occupations</v>
      </c>
      <c r="X29" s="17">
        <f t="shared" ref="X29:AB29" si="25">X11/X$18*100</f>
        <v>16.643601791073497</v>
      </c>
      <c r="Y29" s="17">
        <f t="shared" si="25"/>
        <v>15.435415717808803</v>
      </c>
      <c r="Z29" s="17">
        <f t="shared" si="25"/>
        <v>15.509321132870447</v>
      </c>
      <c r="AA29" s="17">
        <f t="shared" si="25"/>
        <v>13.909497334384021</v>
      </c>
      <c r="AB29" s="17">
        <f t="shared" si="25"/>
        <v>11.592303599013867</v>
      </c>
      <c r="AC29" s="11"/>
      <c r="AD29" s="39">
        <f t="shared" si="18"/>
        <v>-16.001706636920886</v>
      </c>
      <c r="AE29" s="39">
        <f t="shared" si="19"/>
        <v>50.998976082771698</v>
      </c>
      <c r="AF29" s="39">
        <f t="shared" si="20"/>
        <v>34.997269445850812</v>
      </c>
    </row>
    <row r="30" spans="1:32" x14ac:dyDescent="0.2">
      <c r="A30" t="str">
        <f>$A$12</f>
        <v>Skilled trades occupations</v>
      </c>
      <c r="B30" s="17">
        <f t="shared" si="8"/>
        <v>11.780023561654176</v>
      </c>
      <c r="C30" s="17">
        <f t="shared" si="8"/>
        <v>11.153686296713627</v>
      </c>
      <c r="D30" s="17">
        <f t="shared" si="8"/>
        <v>10.172532337626931</v>
      </c>
      <c r="E30" s="17">
        <f t="shared" si="8"/>
        <v>10.043000470031318</v>
      </c>
      <c r="F30" s="17">
        <f t="shared" si="8"/>
        <v>9.4593224675292777</v>
      </c>
      <c r="G30" s="11"/>
      <c r="H30" s="39">
        <f t="shared" si="21"/>
        <v>2.8447265465527676</v>
      </c>
      <c r="I30" s="39">
        <f t="shared" si="11"/>
        <v>44.268640543461508</v>
      </c>
      <c r="J30" s="39">
        <f t="shared" si="12"/>
        <v>47.113367090014272</v>
      </c>
      <c r="L30" t="str">
        <f>$A$12</f>
        <v>Skilled trades occupations</v>
      </c>
      <c r="M30" s="17">
        <f t="shared" ref="M30:Q30" si="26">M12/M$18*100</f>
        <v>20.305833491456511</v>
      </c>
      <c r="N30" s="17">
        <f t="shared" si="26"/>
        <v>19.505993800261439</v>
      </c>
      <c r="O30" s="17">
        <f t="shared" si="26"/>
        <v>17.557907374002259</v>
      </c>
      <c r="P30" s="17">
        <f t="shared" si="26"/>
        <v>17.175025789748553</v>
      </c>
      <c r="Q30" s="17">
        <f t="shared" si="26"/>
        <v>16.049326864786138</v>
      </c>
      <c r="R30" s="11"/>
      <c r="S30" s="39">
        <f t="shared" si="14"/>
        <v>-0.47436778970758553</v>
      </c>
      <c r="T30" s="39">
        <f t="shared" si="15"/>
        <v>40.676060294855773</v>
      </c>
      <c r="U30" s="39">
        <f t="shared" si="16"/>
        <v>40.201692505148188</v>
      </c>
      <c r="W30" t="str">
        <f>$A$12</f>
        <v>Skilled trades occupations</v>
      </c>
      <c r="X30" s="17">
        <f t="shared" ref="X30:AB30" si="27">X12/X$18*100</f>
        <v>2.360035431267375</v>
      </c>
      <c r="Y30" s="17">
        <f t="shared" si="27"/>
        <v>2.356676348992262</v>
      </c>
      <c r="Z30" s="17">
        <f t="shared" si="27"/>
        <v>2.5124438729978533</v>
      </c>
      <c r="AA30" s="17">
        <f t="shared" si="27"/>
        <v>2.7381807488311827</v>
      </c>
      <c r="AB30" s="17">
        <f t="shared" si="27"/>
        <v>2.8370917440211478</v>
      </c>
      <c r="AC30" s="11"/>
      <c r="AD30" s="39">
        <f t="shared" si="18"/>
        <v>26.902598684819107</v>
      </c>
      <c r="AE30" s="39">
        <f t="shared" si="19"/>
        <v>70.308827266446116</v>
      </c>
      <c r="AF30" s="39">
        <f t="shared" si="20"/>
        <v>97.211425951265241</v>
      </c>
    </row>
    <row r="31" spans="1:32" x14ac:dyDescent="0.2">
      <c r="A31" t="str">
        <f>$A$13</f>
        <v>Caring, leisure and other service occupations</v>
      </c>
      <c r="B31" s="17">
        <f t="shared" si="8"/>
        <v>10.294036303503209</v>
      </c>
      <c r="C31" s="17">
        <f t="shared" si="8"/>
        <v>9.9401799834343372</v>
      </c>
      <c r="D31" s="17">
        <f t="shared" si="8"/>
        <v>9.4581704640653079</v>
      </c>
      <c r="E31" s="17">
        <f t="shared" si="8"/>
        <v>9.9224648068990113</v>
      </c>
      <c r="F31" s="17">
        <f t="shared" si="8"/>
        <v>10.372160762245732</v>
      </c>
      <c r="G31" s="11"/>
      <c r="H31" s="39">
        <f t="shared" si="21"/>
        <v>21.28669964317552</v>
      </c>
      <c r="I31" s="39">
        <f t="shared" si="11"/>
        <v>61.94553193914669</v>
      </c>
      <c r="J31" s="39">
        <f t="shared" si="12"/>
        <v>83.232231582322214</v>
      </c>
      <c r="L31" t="str">
        <f>$A$13</f>
        <v>Caring, leisure and other service occupations</v>
      </c>
      <c r="M31" s="17">
        <f t="shared" ref="M31:Q31" si="28">M13/M$18*100</f>
        <v>2.7928853040896238</v>
      </c>
      <c r="N31" s="17">
        <f t="shared" si="28"/>
        <v>2.7790131239522151</v>
      </c>
      <c r="O31" s="17">
        <f t="shared" si="28"/>
        <v>2.8586086584699295</v>
      </c>
      <c r="P31" s="17">
        <f t="shared" si="28"/>
        <v>3.164135132270649</v>
      </c>
      <c r="Q31" s="17">
        <f t="shared" si="28"/>
        <v>3.5496723901166609</v>
      </c>
      <c r="R31" s="11"/>
      <c r="S31" s="39">
        <f t="shared" si="14"/>
        <v>35.202413494675909</v>
      </c>
      <c r="T31" s="39">
        <f t="shared" si="15"/>
        <v>52.594249382947837</v>
      </c>
      <c r="U31" s="39">
        <f t="shared" si="16"/>
        <v>87.796662877623746</v>
      </c>
      <c r="W31" t="str">
        <f>$A$13</f>
        <v>Caring, leisure and other service occupations</v>
      </c>
      <c r="X31" s="17">
        <f t="shared" ref="X31:AB31" si="29">X13/X$18*100</f>
        <v>18.581900325866307</v>
      </c>
      <c r="Y31" s="17">
        <f t="shared" si="29"/>
        <v>17.482629309371809</v>
      </c>
      <c r="Z31" s="17">
        <f t="shared" si="29"/>
        <v>16.303215842215636</v>
      </c>
      <c r="AA31" s="17">
        <f t="shared" si="29"/>
        <v>16.844535001057352</v>
      </c>
      <c r="AB31" s="17">
        <f t="shared" si="29"/>
        <v>17.228012349764608</v>
      </c>
      <c r="AC31" s="11"/>
      <c r="AD31" s="39">
        <f t="shared" si="18"/>
        <v>18.75595604212559</v>
      </c>
      <c r="AE31" s="39">
        <f t="shared" si="19"/>
        <v>63.646177608011023</v>
      </c>
      <c r="AF31" s="39">
        <f t="shared" si="20"/>
        <v>82.402133650136605</v>
      </c>
    </row>
    <row r="32" spans="1:32" x14ac:dyDescent="0.2">
      <c r="A32" t="str">
        <f>$A$14</f>
        <v>Sales and customer service occupations</v>
      </c>
      <c r="B32" s="17">
        <f t="shared" si="8"/>
        <v>9.1147552711457216</v>
      </c>
      <c r="C32" s="17">
        <f t="shared" si="8"/>
        <v>8.4840256326720951</v>
      </c>
      <c r="D32" s="17">
        <f t="shared" si="8"/>
        <v>8.6506920392037099</v>
      </c>
      <c r="E32" s="17">
        <f t="shared" si="8"/>
        <v>8.3481310486712683</v>
      </c>
      <c r="F32" s="17">
        <f t="shared" si="8"/>
        <v>7.8530938849276799</v>
      </c>
      <c r="H32" s="39">
        <f t="shared" si="21"/>
        <v>0.40168790930873277</v>
      </c>
      <c r="I32" s="39">
        <f t="shared" si="11"/>
        <v>46.665664102472313</v>
      </c>
      <c r="J32" s="39">
        <f t="shared" si="12"/>
        <v>47.06735201178104</v>
      </c>
      <c r="L32" t="str">
        <f>$A$14</f>
        <v>Sales and customer service occupations</v>
      </c>
      <c r="M32" s="17">
        <f t="shared" ref="M32:Q32" si="30">M14/M$18*100</f>
        <v>6.5515289236646499</v>
      </c>
      <c r="N32" s="17">
        <f t="shared" si="30"/>
        <v>6.2043302036955614</v>
      </c>
      <c r="O32" s="17">
        <f t="shared" si="30"/>
        <v>6.5294450024265718</v>
      </c>
      <c r="P32" s="17">
        <f t="shared" si="30"/>
        <v>6.4755672476063983</v>
      </c>
      <c r="Q32" s="17">
        <f t="shared" si="30"/>
        <v>6.3978811449462905</v>
      </c>
      <c r="S32" s="39">
        <f t="shared" si="14"/>
        <v>6.6868214251329512</v>
      </c>
      <c r="T32" s="39">
        <f t="shared" si="15"/>
        <v>35.079427004080003</v>
      </c>
      <c r="U32" s="39">
        <f t="shared" si="16"/>
        <v>41.766248429212958</v>
      </c>
      <c r="W32" t="str">
        <f>$A$14</f>
        <v>Sales and customer service occupations</v>
      </c>
      <c r="X32" s="17">
        <f t="shared" ref="X32:AB32" si="31">X14/X$18*100</f>
        <v>11.946810168870401</v>
      </c>
      <c r="Y32" s="17">
        <f t="shared" si="31"/>
        <v>10.885099031605641</v>
      </c>
      <c r="Z32" s="17">
        <f t="shared" si="31"/>
        <v>10.850842996604495</v>
      </c>
      <c r="AA32" s="17">
        <f t="shared" si="31"/>
        <v>10.26606324465039</v>
      </c>
      <c r="AB32" s="17">
        <f t="shared" si="31"/>
        <v>9.3154228812416218</v>
      </c>
      <c r="AD32" s="39">
        <f t="shared" si="18"/>
        <v>-3.5210430908686798</v>
      </c>
      <c r="AE32" s="39">
        <f t="shared" si="19"/>
        <v>53.896964969326064</v>
      </c>
      <c r="AF32" s="39">
        <f t="shared" si="20"/>
        <v>50.375921878457383</v>
      </c>
    </row>
    <row r="33" spans="1:32" x14ac:dyDescent="0.2">
      <c r="A33" t="str">
        <f>$A$15</f>
        <v>Process, plant and machine operatives</v>
      </c>
      <c r="B33" s="17">
        <f t="shared" si="8"/>
        <v>5.6603218492350837</v>
      </c>
      <c r="C33" s="17">
        <f t="shared" si="8"/>
        <v>5.480943123359614</v>
      </c>
      <c r="D33" s="17">
        <f t="shared" si="8"/>
        <v>4.9404834882593169</v>
      </c>
      <c r="E33" s="17">
        <f t="shared" si="8"/>
        <v>5.350087781243678</v>
      </c>
      <c r="F33" s="17">
        <f t="shared" si="8"/>
        <v>5.1080563138842257</v>
      </c>
      <c r="G33" s="11"/>
      <c r="H33" s="39">
        <f t="shared" si="21"/>
        <v>14.350297925520156</v>
      </c>
      <c r="I33" s="39">
        <f t="shared" si="11"/>
        <v>52.058548297400975</v>
      </c>
      <c r="J33" s="39">
        <f t="shared" si="12"/>
        <v>66.408846222921142</v>
      </c>
      <c r="L33" t="str">
        <f>$A$15</f>
        <v>Process, plant and machine operatives</v>
      </c>
      <c r="M33" s="17">
        <f t="shared" ref="M33:Q33" si="32">M15/M$18*100</f>
        <v>9.3215644314078077</v>
      </c>
      <c r="N33" s="17">
        <f t="shared" si="32"/>
        <v>9.1329661828655784</v>
      </c>
      <c r="O33" s="17">
        <f t="shared" si="32"/>
        <v>8.3043473080000094</v>
      </c>
      <c r="P33" s="17">
        <f t="shared" si="32"/>
        <v>8.7767523825354807</v>
      </c>
      <c r="Q33" s="17">
        <f t="shared" si="32"/>
        <v>8.2669744480154872</v>
      </c>
      <c r="R33" s="11"/>
      <c r="S33" s="39">
        <f t="shared" si="14"/>
        <v>8.3906866811886829</v>
      </c>
      <c r="T33" s="39">
        <f t="shared" si="15"/>
        <v>48.658481837979785</v>
      </c>
      <c r="U33" s="39">
        <f t="shared" si="16"/>
        <v>57.049168519168468</v>
      </c>
      <c r="W33" t="str">
        <f>$A$15</f>
        <v>Process, plant and machine operatives</v>
      </c>
      <c r="X33" s="17">
        <f t="shared" ref="X33:AB33" si="33">X15/X$18*100</f>
        <v>1.6150919003505384</v>
      </c>
      <c r="Y33" s="17">
        <f t="shared" si="33"/>
        <v>1.6344751658358838</v>
      </c>
      <c r="Z33" s="17">
        <f t="shared" si="33"/>
        <v>1.4514941931638718</v>
      </c>
      <c r="AA33" s="17">
        <f t="shared" si="33"/>
        <v>1.8404020979562692</v>
      </c>
      <c r="AB33" s="17">
        <f t="shared" si="33"/>
        <v>1.9336904925808747</v>
      </c>
      <c r="AC33" s="11"/>
      <c r="AD33" s="39">
        <f t="shared" si="18"/>
        <v>49.714947856208241</v>
      </c>
      <c r="AE33" s="39">
        <f t="shared" si="19"/>
        <v>72.234723411654471</v>
      </c>
      <c r="AF33" s="39">
        <f t="shared" si="20"/>
        <v>121.94967126786271</v>
      </c>
    </row>
    <row r="34" spans="1:32" x14ac:dyDescent="0.2">
      <c r="A34" t="str">
        <f>$A$16</f>
        <v>Elementary occupations</v>
      </c>
      <c r="B34" s="17">
        <f t="shared" si="8"/>
        <v>11.339404126111509</v>
      </c>
      <c r="C34" s="17">
        <f t="shared" si="8"/>
        <v>10.729608581361742</v>
      </c>
      <c r="D34" s="17">
        <f t="shared" si="8"/>
        <v>10.113953107226092</v>
      </c>
      <c r="E34" s="17">
        <f t="shared" si="8"/>
        <v>10.033568828935726</v>
      </c>
      <c r="F34" s="17">
        <f t="shared" si="8"/>
        <v>9.2545977865837923</v>
      </c>
      <c r="G34" s="11"/>
      <c r="H34" s="39">
        <f t="shared" si="21"/>
        <v>1.2016723018000934</v>
      </c>
      <c r="I34" s="39">
        <f t="shared" si="11"/>
        <v>48.076168800490457</v>
      </c>
      <c r="J34" s="39">
        <f t="shared" si="12"/>
        <v>49.277841102290552</v>
      </c>
      <c r="L34" t="str">
        <f>$A$16</f>
        <v>Elementary occupations</v>
      </c>
      <c r="M34" s="17">
        <f t="shared" ref="M34:Q34" si="34">M16/M$18*100</f>
        <v>11.721619248310592</v>
      </c>
      <c r="N34" s="17">
        <f t="shared" si="34"/>
        <v>10.39837740563633</v>
      </c>
      <c r="O34" s="17">
        <f t="shared" si="34"/>
        <v>10.442410176096109</v>
      </c>
      <c r="P34" s="17">
        <f t="shared" si="34"/>
        <v>10.550261347367833</v>
      </c>
      <c r="Q34" s="17">
        <f t="shared" si="34"/>
        <v>9.6421759011169694</v>
      </c>
      <c r="R34" s="11"/>
      <c r="S34" s="39">
        <f t="shared" si="14"/>
        <v>0.53682786993374354</v>
      </c>
      <c r="T34" s="39">
        <f t="shared" si="15"/>
        <v>39.008133094962091</v>
      </c>
      <c r="U34" s="39">
        <f t="shared" si="16"/>
        <v>39.544960964895836</v>
      </c>
      <c r="W34" t="str">
        <f>$A$16</f>
        <v>Elementary occupations</v>
      </c>
      <c r="X34" s="17">
        <f t="shared" ref="X34:AB34" si="35">X16/X$18*100</f>
        <v>10.917102673931064</v>
      </c>
      <c r="Y34" s="17">
        <f t="shared" si="35"/>
        <v>11.078475519823197</v>
      </c>
      <c r="Z34" s="17">
        <f t="shared" si="35"/>
        <v>9.7732784370861303</v>
      </c>
      <c r="AA34" s="17">
        <f t="shared" si="35"/>
        <v>9.5043579064780275</v>
      </c>
      <c r="AB34" s="17">
        <f t="shared" si="35"/>
        <v>8.8651243442156566</v>
      </c>
      <c r="AC34" s="11"/>
      <c r="AD34" s="39">
        <f t="shared" si="18"/>
        <v>1.9384589436415349</v>
      </c>
      <c r="AE34" s="39">
        <f t="shared" si="19"/>
        <v>58.125448384310921</v>
      </c>
      <c r="AF34" s="39">
        <f t="shared" si="20"/>
        <v>60.06390732795245</v>
      </c>
    </row>
    <row r="35" spans="1:32" x14ac:dyDescent="0.2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2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10.598968387052592</v>
      </c>
      <c r="I36" s="42">
        <f t="shared" si="11"/>
        <v>51.158414611444812</v>
      </c>
      <c r="J36" s="42">
        <f t="shared" si="12"/>
        <v>61.757382998497398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8.880693029029068</v>
      </c>
      <c r="T36" s="42">
        <f t="shared" ref="T36" si="37">IF(O18&gt;0,(T18/O18)*100,0)</f>
        <v>42.317507510353373</v>
      </c>
      <c r="U36" s="42">
        <f t="shared" ref="U36" si="38">IF(O18&gt;0,(U18/O18)*100,0)</f>
        <v>51.198200539382441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12.381158348188649</v>
      </c>
      <c r="AE36" s="42">
        <f t="shared" ref="AE36" si="40">IF(Z18&gt;0,(AE18/Z18)*100,0)</f>
        <v>60.328176494676825</v>
      </c>
      <c r="AF36" s="42">
        <f t="shared" ref="AF36" si="41">IF(Z18&gt;0,(AF18/Z18)*100,0)</f>
        <v>72.709334842865474</v>
      </c>
    </row>
    <row r="37" spans="1:32" x14ac:dyDescent="0.2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2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75" x14ac:dyDescent="0.25">
      <c r="A39" s="18" t="str">
        <f>CONCATENATE(A$1," (Continued)")</f>
        <v>Occupation Table 1  Employment Change by Occupation Group (SOC 2020) and Replacement Demand, 2015-2035, South West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South West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South West (Continued)</v>
      </c>
      <c r="X39" s="17"/>
      <c r="Y39" s="17"/>
      <c r="Z39" s="17"/>
      <c r="AA39" s="17"/>
      <c r="AB39" s="17"/>
      <c r="AC39" s="11"/>
    </row>
    <row r="40" spans="1:32" x14ac:dyDescent="0.2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2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2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2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2">
      <c r="A46" t="str">
        <f>$A$8</f>
        <v>Managers, directors and senior officials</v>
      </c>
      <c r="B46" s="17">
        <f>IF(C$6-B$6 &lt;&gt; 0,(EXP(LN(C8/B8)/(C$6-B$6))-1)*100,0)</f>
        <v>3.8846957011833494</v>
      </c>
      <c r="C46" s="17">
        <f t="shared" ref="B46:E54" si="42">IF(D$6-C$6 &lt;&gt; 0,(EXP(LN(D8/C8)/(D$6-C$6))-1)*100,0)</f>
        <v>2.6090660039105096</v>
      </c>
      <c r="D46" s="17">
        <f t="shared" si="42"/>
        <v>0.83712411442939949</v>
      </c>
      <c r="E46" s="17">
        <f t="shared" si="42"/>
        <v>1.1661390774260427</v>
      </c>
      <c r="F46" s="17">
        <f>IF(F$6-D$6 &lt;&gt; 0,(EXP(LN(F8/D8)/(F$6-D$6))-1)*100,0)</f>
        <v>1.0563483155450193</v>
      </c>
      <c r="H46" s="17">
        <f>IF($F$6-$D$6 &lt;&gt; 0,(EXP(LN(1+(H26/100))/($F$6-$D$6))-1)*100,0)</f>
        <v>1.0563483155450193</v>
      </c>
      <c r="I46" s="17">
        <f>IF($F$6-$D$6 &lt;&gt; 0,(EXP(LN(1+(I26/100))/($F$6-$D$6))-1)*100,0)</f>
        <v>3.0744673257460331</v>
      </c>
      <c r="J46" s="17">
        <f>IF($F$6-$D$6 &lt;&gt; 0,(EXP(LN(1+(J26/100))/($F$6-$D$6))-1)*100,0)</f>
        <v>3.7841030807802767</v>
      </c>
      <c r="L46" t="str">
        <f>$A$8</f>
        <v>Managers, directors and senior officials</v>
      </c>
      <c r="M46" s="17">
        <f t="shared" ref="M46:M54" si="43">IF(N$6-M$6 &lt;&gt; 0,(EXP(LN(N8/M8)/(N$6-M$6))-1)*100,0)</f>
        <v>3.0075485259090318</v>
      </c>
      <c r="N46" s="17">
        <f t="shared" ref="N46:N54" si="44">IF(O$6-N$6 &lt;&gt; 0,(EXP(LN(O8/N8)/(O$6-N$6))-1)*100,0)</f>
        <v>-0.18384940296533037</v>
      </c>
      <c r="O46" s="17">
        <f t="shared" ref="O46:O54" si="45">IF(P$6-O$6 &lt;&gt; 0,(EXP(LN(P8/O8)/(P$6-O$6))-1)*100,0)</f>
        <v>0.58559093271355334</v>
      </c>
      <c r="P46" s="17">
        <f t="shared" ref="P46:P54" si="46">IF(Q$6-P$6 &lt;&gt; 0,(EXP(LN(Q8/P8)/(Q$6-P$6))-1)*100,0)</f>
        <v>1.0176898212517882</v>
      </c>
      <c r="Q46" s="17">
        <f>IF(Q$6-O$6 &lt;&gt; 0,(EXP(LN(Q8/O8)/(Q$6-O$6))-1)*100,0)</f>
        <v>0.87345100402198561</v>
      </c>
      <c r="S46" s="17">
        <f>IF($F$6-$D$6 &lt;&gt; 0,(EXP(LN(1+(S26/100))/($F$6-$D$6))-1)*100,0)</f>
        <v>0.87345100402198561</v>
      </c>
      <c r="T46" s="17">
        <f>IF($F$6-$D$6 &lt;&gt; 0,(EXP(LN(1+(T26/100))/($F$6-$D$6))-1)*100,0)</f>
        <v>2.801539211027726</v>
      </c>
      <c r="U46" s="17">
        <f>IF($F$6-$D$6 &lt;&gt; 0,(EXP(LN(1+(U26/100))/($F$6-$D$6))-1)*100,0)</f>
        <v>3.4068802694743772</v>
      </c>
      <c r="W46" t="str">
        <f>$A$8</f>
        <v>Managers, directors and senior officials</v>
      </c>
      <c r="X46" s="17">
        <f t="shared" ref="X46:X54" si="47">IF(Y$6-X$6 &lt;&gt; 0,(EXP(LN(Y8/X8)/(Y$6-X$6))-1)*100,0)</f>
        <v>5.6755486408861966</v>
      </c>
      <c r="Y46" s="17">
        <f t="shared" ref="Y46:Y54" si="48">IF(Z$6-Y$6 &lt;&gt; 0,(EXP(LN(Z8/Y8)/(Z$6-Y$6))-1)*100,0)</f>
        <v>7.9589130298896471</v>
      </c>
      <c r="Z46" s="17">
        <f t="shared" ref="Z46:Z54" si="49">IF(AA$6-Z$6 &lt;&gt; 0,(EXP(LN(AA8/Z8)/(AA$6-Z$6))-1)*100,0)</f>
        <v>1.2765337381136277</v>
      </c>
      <c r="AA46" s="17">
        <f t="shared" ref="AA46:AA54" si="50">IF(AB$6-AA$6 &lt;&gt; 0,(EXP(LN(AB8/AA8)/(AB$6-AA$6))-1)*100,0)</f>
        <v>1.4157398538297228</v>
      </c>
      <c r="AB46" s="17">
        <f>IF(AB$6-Z$6 &lt;&gt; 0,(EXP(LN(AB8/Z8)/(AB$6-Z$6))-1)*100,0)</f>
        <v>1.3693165681355035</v>
      </c>
      <c r="AD46" s="17">
        <f>IF($F$6-$D$6 &lt;&gt; 0,(EXP(LN(1+(AD26/100))/($F$6-$D$6))-1)*100,0)</f>
        <v>1.3693165681355035</v>
      </c>
      <c r="AE46" s="17">
        <f>IF($F$6-$D$6 &lt;&gt; 0,(EXP(LN(1+(AE26/100))/($F$6-$D$6))-1)*100,0)</f>
        <v>3.5343308870442236</v>
      </c>
      <c r="AF46" s="17">
        <f>IF($F$6-$D$6 &lt;&gt; 0,(EXP(LN(1+(AF26/100))/($F$6-$D$6))-1)*100,0)</f>
        <v>4.4084531988394682</v>
      </c>
    </row>
    <row r="47" spans="1:32" x14ac:dyDescent="0.2">
      <c r="A47" t="str">
        <f>$A$9</f>
        <v>Professional occupations</v>
      </c>
      <c r="B47" s="17">
        <f t="shared" si="42"/>
        <v>3.2904104275530033</v>
      </c>
      <c r="C47" s="17">
        <f t="shared" si="42"/>
        <v>3.2552550621118836</v>
      </c>
      <c r="D47" s="17">
        <f t="shared" si="42"/>
        <v>1.8405267249858914</v>
      </c>
      <c r="E47" s="17">
        <f t="shared" si="42"/>
        <v>1.2505224928277769</v>
      </c>
      <c r="F47" s="17">
        <f>IF(F$6-D$6 &lt;&gt; 0,(EXP(LN(F9/D9)/(F$6-D$6))-1)*100,0)</f>
        <v>1.44680979585321</v>
      </c>
      <c r="H47" s="17">
        <f t="shared" ref="H47:J56" si="51">IF($F$6-$D$6 &lt;&gt; 0,(EXP(LN(1+(H27/100))/($F$6-$D$6))-1)*100,0)</f>
        <v>1.44680979585321</v>
      </c>
      <c r="I47" s="17">
        <f t="shared" si="51"/>
        <v>2.8681910895800522</v>
      </c>
      <c r="J47" s="17">
        <f t="shared" si="51"/>
        <v>3.8750861890742172</v>
      </c>
      <c r="L47" t="str">
        <f>$A$9</f>
        <v>Professional occupations</v>
      </c>
      <c r="M47" s="17">
        <f t="shared" si="43"/>
        <v>2.6841613869733827</v>
      </c>
      <c r="N47" s="17">
        <f t="shared" si="44"/>
        <v>1.5878026221665786</v>
      </c>
      <c r="O47" s="17">
        <f t="shared" si="45"/>
        <v>1.6455612017810095</v>
      </c>
      <c r="P47" s="17">
        <f t="shared" si="46"/>
        <v>1.0607580913200021</v>
      </c>
      <c r="Q47" s="17">
        <f>IF(Q$6-O$6 &lt;&gt; 0,(EXP(LN(Q9/O9)/(Q$6-O$6))-1)*100,0)</f>
        <v>1.2553176600376359</v>
      </c>
      <c r="S47" s="17">
        <f t="shared" ref="S47:U47" si="52">IF($F$6-$D$6 &lt;&gt; 0,(EXP(LN(1+(S27/100))/($F$6-$D$6))-1)*100,0)</f>
        <v>1.2553176600376359</v>
      </c>
      <c r="T47" s="17">
        <f t="shared" si="52"/>
        <v>2.372849779300501</v>
      </c>
      <c r="U47" s="17">
        <f t="shared" si="52"/>
        <v>3.2996667247487066</v>
      </c>
      <c r="W47" t="str">
        <f>$A$9</f>
        <v>Professional occupations</v>
      </c>
      <c r="X47" s="17">
        <f t="shared" si="47"/>
        <v>3.9643372810424182</v>
      </c>
      <c r="Y47" s="17">
        <f t="shared" si="48"/>
        <v>5.0523246923552367</v>
      </c>
      <c r="Z47" s="17">
        <f t="shared" si="49"/>
        <v>2.0421416923064539</v>
      </c>
      <c r="AA47" s="17">
        <f t="shared" si="50"/>
        <v>1.4412277066877976</v>
      </c>
      <c r="AB47" s="17">
        <f>IF(AB$6-Z$6 &lt;&gt; 0,(EXP(LN(AB9/Z9)/(AB$6-Z$6))-1)*100,0)</f>
        <v>1.641138145845833</v>
      </c>
      <c r="AD47" s="17">
        <f t="shared" ref="AD47:AF47" si="53">IF($F$6-$D$6 &lt;&gt; 0,(EXP(LN(1+(AD27/100))/($F$6-$D$6))-1)*100,0)</f>
        <v>1.641138145845833</v>
      </c>
      <c r="AE47" s="17">
        <f t="shared" si="53"/>
        <v>3.3511861503183304</v>
      </c>
      <c r="AF47" s="17">
        <f t="shared" si="53"/>
        <v>4.4307785424124724</v>
      </c>
    </row>
    <row r="48" spans="1:32" x14ac:dyDescent="0.2">
      <c r="A48" t="str">
        <f>$A$10</f>
        <v>Associate professional occupations</v>
      </c>
      <c r="B48" s="17">
        <f t="shared" si="42"/>
        <v>2.1529718846303503</v>
      </c>
      <c r="C48" s="17">
        <f t="shared" si="42"/>
        <v>3.8707859426656777</v>
      </c>
      <c r="D48" s="17">
        <f t="shared" si="42"/>
        <v>9.5954999833169907E-3</v>
      </c>
      <c r="E48" s="17">
        <f t="shared" si="42"/>
        <v>0.91084877618121673</v>
      </c>
      <c r="F48" s="17">
        <f t="shared" ref="F48:F56" si="54">IF(F$6-D$6 &lt;&gt; 0,(EXP(LN(F10/D10)/(F$6-D$6))-1)*100,0)</f>
        <v>0.60953219122281688</v>
      </c>
      <c r="H48" s="17">
        <f t="shared" si="51"/>
        <v>0.60953219122281688</v>
      </c>
      <c r="I48" s="17">
        <f t="shared" si="51"/>
        <v>2.6504630239692073</v>
      </c>
      <c r="J48" s="17">
        <f t="shared" si="51"/>
        <v>3.078850314575976</v>
      </c>
      <c r="L48" t="str">
        <f>$A$10</f>
        <v>Associate professional occupations</v>
      </c>
      <c r="M48" s="17">
        <f t="shared" si="43"/>
        <v>1.4283658459097071</v>
      </c>
      <c r="N48" s="17">
        <f t="shared" si="44"/>
        <v>2.5258156599963666</v>
      </c>
      <c r="O48" s="17">
        <f t="shared" si="45"/>
        <v>-0.99390252048320304</v>
      </c>
      <c r="P48" s="17">
        <f t="shared" si="46"/>
        <v>0.46829211699723761</v>
      </c>
      <c r="Q48" s="17">
        <f t="shared" ref="Q48:Q54" si="55">IF(Q$6-O$6 &lt;&gt; 0,(EXP(LN(Q10/O10)/(Q$6-O$6))-1)*100,0)</f>
        <v>-2.1489898414162045E-2</v>
      </c>
      <c r="S48" s="17">
        <f t="shared" ref="S48:U48" si="56">IF($F$6-$D$6 &lt;&gt; 0,(EXP(LN(1+(S28/100))/($F$6-$D$6))-1)*100,0)</f>
        <v>-2.1489898414162045E-2</v>
      </c>
      <c r="T48" s="17">
        <f t="shared" si="56"/>
        <v>2.1089831209504251</v>
      </c>
      <c r="U48" s="17">
        <f t="shared" si="56"/>
        <v>2.0929446373799232</v>
      </c>
      <c r="W48" t="str">
        <f>$A$10</f>
        <v>Associate professional occupations</v>
      </c>
      <c r="X48" s="17">
        <f t="shared" si="47"/>
        <v>2.9441260030967475</v>
      </c>
      <c r="Y48" s="17">
        <f t="shared" si="48"/>
        <v>5.285826468550181</v>
      </c>
      <c r="Z48" s="17">
        <f t="shared" si="49"/>
        <v>0.99755780075916345</v>
      </c>
      <c r="AA48" s="17">
        <f t="shared" si="50"/>
        <v>1.3062325133355701</v>
      </c>
      <c r="AB48" s="17">
        <f t="shared" ref="AB48:AB54" si="57">IF(AB$6-Z$6 &lt;&gt; 0,(EXP(LN(AB10/Z10)/(AB$6-Z$6))-1)*100,0)</f>
        <v>1.2032362635034266</v>
      </c>
      <c r="AD48" s="17">
        <f t="shared" ref="AD48:AF48" si="58">IF($F$6-$D$6 &lt;&gt; 0,(EXP(LN(1+(AD28/100))/($F$6-$D$6))-1)*100,0)</f>
        <v>1.2032362635034266</v>
      </c>
      <c r="AE48" s="17">
        <f t="shared" si="58"/>
        <v>3.1666254039093955</v>
      </c>
      <c r="AF48" s="17">
        <f t="shared" si="58"/>
        <v>3.9682462575421074</v>
      </c>
    </row>
    <row r="49" spans="1:32" x14ac:dyDescent="0.2">
      <c r="A49" t="str">
        <f>$A$11</f>
        <v>Administrative and secretarial occupations</v>
      </c>
      <c r="B49" s="17">
        <f t="shared" si="42"/>
        <v>-0.60420579517926898</v>
      </c>
      <c r="C49" s="17">
        <f t="shared" si="42"/>
        <v>3.905620649150543</v>
      </c>
      <c r="D49" s="17">
        <f t="shared" si="42"/>
        <v>-1.0265609561140199</v>
      </c>
      <c r="E49" s="17">
        <f t="shared" si="42"/>
        <v>-0.65995909745317771</v>
      </c>
      <c r="F49" s="17">
        <f t="shared" si="54"/>
        <v>-0.78231034793608822</v>
      </c>
      <c r="H49" s="17">
        <f t="shared" si="51"/>
        <v>-0.78231034793608822</v>
      </c>
      <c r="I49" s="17">
        <f t="shared" si="51"/>
        <v>2.6253653606324701</v>
      </c>
      <c r="J49" s="17">
        <f t="shared" si="51"/>
        <v>2.0908610172188036</v>
      </c>
      <c r="L49" t="str">
        <f>$A$11</f>
        <v>Administrative and secretarial occupations</v>
      </c>
      <c r="M49" s="17">
        <f t="shared" si="43"/>
        <v>-2.6302141218534913</v>
      </c>
      <c r="N49" s="17">
        <f t="shared" si="44"/>
        <v>17.675311782303528</v>
      </c>
      <c r="O49" s="17">
        <f t="shared" si="45"/>
        <v>-0.55160356785699527</v>
      </c>
      <c r="P49" s="17">
        <f t="shared" si="46"/>
        <v>0.68802308756588104</v>
      </c>
      <c r="Q49" s="17">
        <f t="shared" si="55"/>
        <v>0.27310675916818461</v>
      </c>
      <c r="S49" s="17">
        <f t="shared" ref="S49:U49" si="59">IF($F$6-$D$6 &lt;&gt; 0,(EXP(LN(1+(S29/100))/($F$6-$D$6))-1)*100,0)</f>
        <v>0.27310675916818461</v>
      </c>
      <c r="T49" s="17">
        <f t="shared" si="59"/>
        <v>2.1008459251794509</v>
      </c>
      <c r="U49" s="17">
        <f t="shared" si="59"/>
        <v>2.3060206364558411</v>
      </c>
      <c r="W49" t="str">
        <f>$A$11</f>
        <v>Administrative and secretarial occupations</v>
      </c>
      <c r="X49" s="17">
        <f t="shared" si="47"/>
        <v>-1.4945943416189156E-2</v>
      </c>
      <c r="Y49" s="17">
        <f t="shared" si="48"/>
        <v>0.15841937040381726</v>
      </c>
      <c r="Z49" s="17">
        <f t="shared" si="49"/>
        <v>-1.1803598821043093</v>
      </c>
      <c r="AA49" s="17">
        <f t="shared" si="50"/>
        <v>-1.1434585715076606</v>
      </c>
      <c r="AB49" s="17">
        <f t="shared" si="57"/>
        <v>-1.1557605391988912</v>
      </c>
      <c r="AD49" s="17">
        <f t="shared" ref="AD49:AF49" si="60">IF($F$6-$D$6 &lt;&gt; 0,(EXP(LN(1+(AD29/100))/($F$6-$D$6))-1)*100,0)</f>
        <v>-1.1557605391988912</v>
      </c>
      <c r="AE49" s="17">
        <f t="shared" si="60"/>
        <v>2.7854401951913799</v>
      </c>
      <c r="AF49" s="17">
        <f t="shared" si="60"/>
        <v>2.0207078057783212</v>
      </c>
    </row>
    <row r="50" spans="1:32" x14ac:dyDescent="0.2">
      <c r="A50" t="str">
        <f>$A$12</f>
        <v>Skilled trades occupations</v>
      </c>
      <c r="B50" s="17">
        <f t="shared" si="42"/>
        <v>-0.11766019279580986</v>
      </c>
      <c r="C50" s="17">
        <f t="shared" si="42"/>
        <v>-9.7979701231594714</v>
      </c>
      <c r="D50" s="17">
        <f t="shared" si="42"/>
        <v>0.60781093552555454</v>
      </c>
      <c r="E50" s="17">
        <f t="shared" si="42"/>
        <v>-2.2481524919004681E-2</v>
      </c>
      <c r="F50" s="17">
        <f t="shared" si="54"/>
        <v>0.18717599297484178</v>
      </c>
      <c r="H50" s="17">
        <f t="shared" si="51"/>
        <v>0.18717599297484178</v>
      </c>
      <c r="I50" s="17">
        <f t="shared" si="51"/>
        <v>2.4734746975402455</v>
      </c>
      <c r="J50" s="17">
        <f t="shared" si="51"/>
        <v>2.6069572479609171</v>
      </c>
      <c r="L50" t="str">
        <f>$A$12</f>
        <v>Skilled trades occupations</v>
      </c>
      <c r="M50" s="17">
        <f t="shared" si="43"/>
        <v>-0.33156885886747034</v>
      </c>
      <c r="N50" s="17">
        <f t="shared" si="44"/>
        <v>-11.641100239914648</v>
      </c>
      <c r="O50" s="17">
        <f t="shared" si="45"/>
        <v>0.29783217407690632</v>
      </c>
      <c r="P50" s="17">
        <f t="shared" si="46"/>
        <v>-0.19605198136786184</v>
      </c>
      <c r="Q50" s="17">
        <f t="shared" si="55"/>
        <v>-3.1694741792820391E-2</v>
      </c>
      <c r="S50" s="17">
        <f t="shared" ref="S50:U50" si="61">IF($F$6-$D$6 &lt;&gt; 0,(EXP(LN(1+(S30/100))/($F$6-$D$6))-1)*100,0)</f>
        <v>-3.1694741792820391E-2</v>
      </c>
      <c r="T50" s="17">
        <f t="shared" si="61"/>
        <v>2.3013456763846696</v>
      </c>
      <c r="U50" s="17">
        <f t="shared" si="61"/>
        <v>2.2783116717886465</v>
      </c>
      <c r="W50" t="str">
        <f>$A$12</f>
        <v>Skilled trades occupations</v>
      </c>
      <c r="X50" s="17">
        <f t="shared" si="47"/>
        <v>1.8503878736520596</v>
      </c>
      <c r="Y50" s="17">
        <f t="shared" si="48"/>
        <v>6.2696938964825755</v>
      </c>
      <c r="Z50" s="17">
        <f t="shared" si="49"/>
        <v>2.7478368285676069</v>
      </c>
      <c r="AA50" s="17">
        <f t="shared" si="50"/>
        <v>1.0324088890311556</v>
      </c>
      <c r="AB50" s="17">
        <f t="shared" si="57"/>
        <v>1.6010121400960697</v>
      </c>
      <c r="AD50" s="17">
        <f t="shared" ref="AD50:AF50" si="62">IF($F$6-$D$6 &lt;&gt; 0,(EXP(LN(1+(AD30/100))/($F$6-$D$6))-1)*100,0)</f>
        <v>1.6010121400960697</v>
      </c>
      <c r="AE50" s="17">
        <f t="shared" si="62"/>
        <v>3.6133726973604174</v>
      </c>
      <c r="AF50" s="17">
        <f t="shared" si="62"/>
        <v>4.6314245426714695</v>
      </c>
    </row>
    <row r="51" spans="1:32" x14ac:dyDescent="0.2">
      <c r="A51" t="str">
        <f>$A$13</f>
        <v>Caring, leisure and other service occupations</v>
      </c>
      <c r="B51" s="17">
        <f t="shared" si="42"/>
        <v>0.37435763564124258</v>
      </c>
      <c r="C51" s="17">
        <f t="shared" si="42"/>
        <v>-5.8937329890075496</v>
      </c>
      <c r="D51" s="17">
        <f t="shared" si="42"/>
        <v>1.8374004577874192</v>
      </c>
      <c r="E51" s="17">
        <f t="shared" si="42"/>
        <v>1.0247223311724785</v>
      </c>
      <c r="F51" s="17">
        <f t="shared" si="54"/>
        <v>1.2948918838459944</v>
      </c>
      <c r="H51" s="17">
        <f t="shared" si="51"/>
        <v>1.2948918838459944</v>
      </c>
      <c r="I51" s="17">
        <f t="shared" si="51"/>
        <v>3.2661370491761543</v>
      </c>
      <c r="J51" s="17">
        <f t="shared" si="51"/>
        <v>4.119831848331712</v>
      </c>
      <c r="L51" t="str">
        <f>$A$13</f>
        <v>Caring, leisure and other service occupations</v>
      </c>
      <c r="M51" s="17">
        <f t="shared" si="43"/>
        <v>0.54956153373131311</v>
      </c>
      <c r="N51" s="17">
        <f t="shared" si="44"/>
        <v>0.97404043950766184</v>
      </c>
      <c r="O51" s="17">
        <f t="shared" si="45"/>
        <v>2.8079456725386809</v>
      </c>
      <c r="P51" s="17">
        <f t="shared" si="46"/>
        <v>1.6447855394575051</v>
      </c>
      <c r="Q51" s="17">
        <f t="shared" si="55"/>
        <v>2.0310359720786986</v>
      </c>
      <c r="S51" s="17">
        <f t="shared" ref="S51:U51" si="63">IF($F$6-$D$6 &lt;&gt; 0,(EXP(LN(1+(S31/100))/($F$6-$D$6))-1)*100,0)</f>
        <v>2.0310359720786986</v>
      </c>
      <c r="T51" s="17">
        <f t="shared" si="63"/>
        <v>2.8574794981403473</v>
      </c>
      <c r="U51" s="17">
        <f t="shared" si="63"/>
        <v>4.2907661790193563</v>
      </c>
      <c r="W51" t="str">
        <f>$A$13</f>
        <v>Caring, leisure and other service occupations</v>
      </c>
      <c r="X51" s="17">
        <f t="shared" si="47"/>
        <v>0.34517343579363313</v>
      </c>
      <c r="Y51" s="17">
        <f t="shared" si="48"/>
        <v>-7.0435491687928735</v>
      </c>
      <c r="Z51" s="17">
        <f t="shared" si="49"/>
        <v>1.656859342441197</v>
      </c>
      <c r="AA51" s="17">
        <f t="shared" si="50"/>
        <v>0.90140089552470659</v>
      </c>
      <c r="AB51" s="17">
        <f t="shared" si="57"/>
        <v>1.1525945134314375</v>
      </c>
      <c r="AD51" s="17">
        <f t="shared" ref="AD51:AF51" si="64">IF($F$6-$D$6 &lt;&gt; 0,(EXP(LN(1+(AD31/100))/($F$6-$D$6))-1)*100,0)</f>
        <v>1.1525945134314375</v>
      </c>
      <c r="AE51" s="17">
        <f t="shared" si="64"/>
        <v>3.3380806806031282</v>
      </c>
      <c r="AF51" s="17">
        <f t="shared" si="64"/>
        <v>4.0883188638810797</v>
      </c>
    </row>
    <row r="52" spans="1:32" x14ac:dyDescent="0.2">
      <c r="A52" t="str">
        <f>$A$14</f>
        <v>Sales and customer service occupations</v>
      </c>
      <c r="B52" s="17">
        <f t="shared" si="42"/>
        <v>-0.54310865060339664</v>
      </c>
      <c r="C52" s="17">
        <f t="shared" si="42"/>
        <v>0.84503869515044627</v>
      </c>
      <c r="D52" s="17">
        <f t="shared" si="42"/>
        <v>0.15035661073716788</v>
      </c>
      <c r="E52" s="17">
        <f t="shared" si="42"/>
        <v>-3.5027378422602951E-2</v>
      </c>
      <c r="F52" s="17">
        <f t="shared" si="54"/>
        <v>2.672912475363276E-2</v>
      </c>
      <c r="H52" s="17">
        <f t="shared" si="51"/>
        <v>2.672912475363276E-2</v>
      </c>
      <c r="I52" s="17">
        <f t="shared" si="51"/>
        <v>2.586110373168804</v>
      </c>
      <c r="J52" s="17">
        <f t="shared" si="51"/>
        <v>2.6048173307093414</v>
      </c>
      <c r="L52" t="str">
        <f>$A$14</f>
        <v>Sales and customer service occupations</v>
      </c>
      <c r="M52" s="17">
        <f t="shared" si="43"/>
        <v>-0.686367468011162</v>
      </c>
      <c r="N52" s="17">
        <f t="shared" si="44"/>
        <v>3.3063440232326213</v>
      </c>
      <c r="O52" s="17">
        <f t="shared" si="45"/>
        <v>0.57427889221302042</v>
      </c>
      <c r="P52" s="17">
        <f t="shared" si="46"/>
        <v>0.36160867524126505</v>
      </c>
      <c r="Q52" s="17">
        <f t="shared" si="55"/>
        <v>0.432448733474744</v>
      </c>
      <c r="S52" s="17">
        <f t="shared" ref="S52:U52" si="65">IF($F$6-$D$6 &lt;&gt; 0,(EXP(LN(1+(S32/100))/($F$6-$D$6))-1)*100,0)</f>
        <v>0.432448733474744</v>
      </c>
      <c r="T52" s="17">
        <f t="shared" si="65"/>
        <v>2.0248458611756615</v>
      </c>
      <c r="U52" s="17">
        <f t="shared" si="65"/>
        <v>2.3540086887764655</v>
      </c>
      <c r="W52" t="str">
        <f>$A$14</f>
        <v>Sales and customer service occupations</v>
      </c>
      <c r="X52" s="17">
        <f t="shared" si="47"/>
        <v>-0.45660752203278143</v>
      </c>
      <c r="Y52" s="17">
        <f t="shared" si="48"/>
        <v>-0.63256040755131915</v>
      </c>
      <c r="Z52" s="17">
        <f t="shared" si="49"/>
        <v>-0.11790806073356253</v>
      </c>
      <c r="AA52" s="17">
        <f t="shared" si="50"/>
        <v>-0.29901588623749698</v>
      </c>
      <c r="AB52" s="17">
        <f t="shared" si="57"/>
        <v>-0.23868312802055591</v>
      </c>
      <c r="AD52" s="17">
        <f t="shared" ref="AD52:AF52" si="66">IF($F$6-$D$6 &lt;&gt; 0,(EXP(LN(1+(AD32/100))/($F$6-$D$6))-1)*100,0)</f>
        <v>-0.23868312802055591</v>
      </c>
      <c r="AE52" s="17">
        <f t="shared" si="66"/>
        <v>2.9157879993098712</v>
      </c>
      <c r="AF52" s="17">
        <f t="shared" si="66"/>
        <v>2.7571112858337132</v>
      </c>
    </row>
    <row r="53" spans="1:32" x14ac:dyDescent="0.2">
      <c r="A53" t="str">
        <f>$A$15</f>
        <v>Process, plant and machine operatives</v>
      </c>
      <c r="B53" s="17">
        <f t="shared" si="42"/>
        <v>0.44404249463085854</v>
      </c>
      <c r="C53" s="17">
        <f t="shared" si="42"/>
        <v>-10.850314763142709</v>
      </c>
      <c r="D53" s="17">
        <f t="shared" si="42"/>
        <v>2.4856617940012926</v>
      </c>
      <c r="E53" s="17">
        <f t="shared" si="42"/>
        <v>0.11339174503333105</v>
      </c>
      <c r="F53" s="17">
        <f t="shared" si="54"/>
        <v>0.89798349522764997</v>
      </c>
      <c r="H53" s="17">
        <f t="shared" si="51"/>
        <v>0.89798349522764997</v>
      </c>
      <c r="I53" s="17">
        <f t="shared" si="51"/>
        <v>2.8333670388253296</v>
      </c>
      <c r="J53" s="17">
        <f t="shared" si="51"/>
        <v>3.4534775669683881</v>
      </c>
      <c r="L53" t="str">
        <f>$A$15</f>
        <v>Process, plant and machine operatives</v>
      </c>
      <c r="M53" s="17">
        <f t="shared" si="43"/>
        <v>0.16167250952998646</v>
      </c>
      <c r="N53" s="17">
        <f t="shared" si="44"/>
        <v>-10.74361728580101</v>
      </c>
      <c r="O53" s="17">
        <f t="shared" si="45"/>
        <v>1.8620203532105917</v>
      </c>
      <c r="P53" s="17">
        <f t="shared" si="46"/>
        <v>-0.11666056158693427</v>
      </c>
      <c r="Q53" s="17">
        <f t="shared" si="55"/>
        <v>0.53859177259931723</v>
      </c>
      <c r="S53" s="17">
        <f t="shared" ref="S53:U53" si="67">IF($F$6-$D$6 &lt;&gt; 0,(EXP(LN(1+(S33/100))/($F$6-$D$6))-1)*100,0)</f>
        <v>0.53859177259931723</v>
      </c>
      <c r="T53" s="17">
        <f t="shared" si="67"/>
        <v>2.6784520813975865</v>
      </c>
      <c r="U53" s="17">
        <f t="shared" si="67"/>
        <v>3.0549940984172519</v>
      </c>
      <c r="W53" t="str">
        <f>$A$15</f>
        <v>Process, plant and machine operatives</v>
      </c>
      <c r="X53" s="17">
        <f t="shared" si="47"/>
        <v>2.1909894029802368</v>
      </c>
      <c r="Y53" s="17">
        <f t="shared" si="48"/>
        <v>-11.478252065070095</v>
      </c>
      <c r="Z53" s="17">
        <f t="shared" si="49"/>
        <v>5.9056236234967807</v>
      </c>
      <c r="AA53" s="17">
        <f t="shared" si="50"/>
        <v>1.1735538452433802</v>
      </c>
      <c r="AB53" s="17">
        <f t="shared" si="57"/>
        <v>2.7269382391376551</v>
      </c>
      <c r="AD53" s="17">
        <f t="shared" ref="AD53:AF53" si="68">IF($F$6-$D$6 &lt;&gt; 0,(EXP(LN(1+(AD33/100))/($F$6-$D$6))-1)*100,0)</f>
        <v>2.7269382391376551</v>
      </c>
      <c r="AE53" s="17">
        <f t="shared" si="68"/>
        <v>3.6910759122027903</v>
      </c>
      <c r="AF53" s="17">
        <f t="shared" si="68"/>
        <v>5.4589963241572059</v>
      </c>
    </row>
    <row r="54" spans="1:32" x14ac:dyDescent="0.2">
      <c r="A54" t="str">
        <f>$A$16</f>
        <v>Elementary occupations</v>
      </c>
      <c r="B54" s="17">
        <f t="shared" si="42"/>
        <v>-0.13367874008459735</v>
      </c>
      <c r="C54" s="17">
        <f t="shared" si="42"/>
        <v>-6.7727842855418334</v>
      </c>
      <c r="D54" s="17">
        <f t="shared" si="42"/>
        <v>0.70515876388619336</v>
      </c>
      <c r="E54" s="17">
        <f t="shared" si="42"/>
        <v>-0.23162245874488452</v>
      </c>
      <c r="F54" s="17">
        <f t="shared" si="54"/>
        <v>7.9665685931273877E-2</v>
      </c>
      <c r="H54" s="17">
        <f t="shared" si="51"/>
        <v>7.9665685931273877E-2</v>
      </c>
      <c r="I54" s="17">
        <f t="shared" si="51"/>
        <v>2.6515893579365901</v>
      </c>
      <c r="J54" s="17">
        <f t="shared" si="51"/>
        <v>2.7069162202636887</v>
      </c>
      <c r="L54" t="str">
        <f>$A$16</f>
        <v>Elementary occupations</v>
      </c>
      <c r="M54" s="17">
        <f t="shared" si="43"/>
        <v>-2.2953353774003094</v>
      </c>
      <c r="N54" s="17">
        <f t="shared" si="44"/>
        <v>-1.4218190439276079</v>
      </c>
      <c r="O54" s="17">
        <f t="shared" si="45"/>
        <v>0.94832364703576477</v>
      </c>
      <c r="P54" s="17">
        <f t="shared" si="46"/>
        <v>-0.41751440933014417</v>
      </c>
      <c r="Q54" s="17">
        <f t="shared" si="55"/>
        <v>3.5699176326042803E-2</v>
      </c>
      <c r="S54" s="17">
        <f t="shared" ref="S54:U54" si="69">IF($F$6-$D$6 &lt;&gt; 0,(EXP(LN(1+(S34/100))/($F$6-$D$6))-1)*100,0)</f>
        <v>3.5699176326042803E-2</v>
      </c>
      <c r="T54" s="17">
        <f t="shared" si="69"/>
        <v>2.2200323466708305</v>
      </c>
      <c r="U54" s="17">
        <f t="shared" si="69"/>
        <v>2.2463022306994151</v>
      </c>
      <c r="W54" t="str">
        <f>$A$16</f>
        <v>Elementary occupations</v>
      </c>
      <c r="X54" s="17">
        <f t="shared" si="47"/>
        <v>2.2611056621500536</v>
      </c>
      <c r="Y54" s="17">
        <f t="shared" si="48"/>
        <v>-12.062670267785292</v>
      </c>
      <c r="Z54" s="17">
        <f t="shared" si="49"/>
        <v>0.4329086634327739</v>
      </c>
      <c r="AA54" s="17">
        <f t="shared" si="50"/>
        <v>-2.3993260696886232E-2</v>
      </c>
      <c r="AB54" s="17">
        <f t="shared" si="57"/>
        <v>0.12807595743427047</v>
      </c>
      <c r="AD54" s="17">
        <f t="shared" ref="AD54:AF54" si="70">IF($F$6-$D$6 &lt;&gt; 0,(EXP(LN(1+(AD34/100))/($F$6-$D$6))-1)*100,0)</f>
        <v>0.12807595743427047</v>
      </c>
      <c r="AE54" s="17">
        <f t="shared" si="70"/>
        <v>3.1019275316241934</v>
      </c>
      <c r="AF54" s="17">
        <f t="shared" si="70"/>
        <v>3.1857109844403819</v>
      </c>
    </row>
    <row r="55" spans="1:32" x14ac:dyDescent="0.2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2">
      <c r="A56" s="23" t="str">
        <f>$A$18</f>
        <v>All occupations</v>
      </c>
      <c r="B56" s="25">
        <f>IF(C$6-B$6 &lt;&gt; 0,(EXP(LN(C18/B18)/(C$6-B$6))-1)*100,0)</f>
        <v>1.2559705559315626</v>
      </c>
      <c r="C56" s="25">
        <f>IF(D$6-C$6 &lt;&gt; 0,(EXP(LN(D18/C18)/(D$6-C$6))-1)*100,0)</f>
        <v>-1.0978671602069445</v>
      </c>
      <c r="D56" s="25">
        <f>IF(E$6-D$6 &lt;&gt; 0,(EXP(LN(E18/D18)/(E$6-D$6))-1)*100,0)</f>
        <v>0.86600469906554789</v>
      </c>
      <c r="E56" s="25">
        <f>IF(F$6-E$6 &lt;&gt; 0,(EXP(LN(F18/E18)/(F$6-E$6))-1)*100,0)</f>
        <v>0.57793117804305627</v>
      </c>
      <c r="F56" s="25">
        <f t="shared" si="54"/>
        <v>0.6738641534223655</v>
      </c>
      <c r="H56" s="25">
        <f t="shared" si="51"/>
        <v>0.6738641534223655</v>
      </c>
      <c r="I56" s="25">
        <f t="shared" ref="I56" si="71">IF($F$6-$D$6 &lt;&gt; 0,(EXP(LN(1+(I36/100))/($F$6-$D$6))-1)*100,0)</f>
        <v>2.7926719836061098</v>
      </c>
      <c r="J56" s="25">
        <f t="shared" ref="J56" si="72">IF($F$6-$D$6 &lt;&gt; 0,(EXP(LN(1+(J36/100))/($F$6-$D$6))-1)*100,0)</f>
        <v>3.2581343764680692</v>
      </c>
      <c r="L56" s="23" t="str">
        <f>$A$18</f>
        <v>All occupations</v>
      </c>
      <c r="M56" s="25">
        <f>IF(N$6-M$6 &lt;&gt; 0,(EXP(LN(N18/M18)/(N$6-M$6))-1)*100,0)</f>
        <v>0.6748072706729058</v>
      </c>
      <c r="N56" s="25">
        <f>IF(O$6-N$6 &lt;&gt; 0,(EXP(LN(O18/N18)/(O$6-N$6))-1)*100,0)</f>
        <v>-1.8374961090095399</v>
      </c>
      <c r="O56" s="25">
        <f>IF(P$6-O$6 &lt;&gt; 0,(EXP(LN(P18/O18)/(P$6-O$6))-1)*100,0)</f>
        <v>0.74108349183938937</v>
      </c>
      <c r="P56" s="25">
        <f>IF(Q$6-P$6 &lt;&gt; 0,(EXP(LN(Q18/P18)/(Q$6-P$6))-1)*100,0)</f>
        <v>0.48281169165986793</v>
      </c>
      <c r="Q56" s="25">
        <f t="shared" ref="Q56" si="73">IF(Q$6-O$6 &lt;&gt; 0,(EXP(LN(Q18/O18)/(Q$6-O$6))-1)*100,0)</f>
        <v>0.56882863707150566</v>
      </c>
      <c r="S56" s="25">
        <f t="shared" ref="S56:U56" si="74">IF($F$6-$D$6 &lt;&gt; 0,(EXP(LN(1+(S36/100))/($F$6-$D$6))-1)*100,0)</f>
        <v>0.56882863707150566</v>
      </c>
      <c r="T56" s="25">
        <f t="shared" si="74"/>
        <v>2.3804942803563156</v>
      </c>
      <c r="U56" s="25">
        <f t="shared" si="74"/>
        <v>2.7944754776858316</v>
      </c>
      <c r="W56" s="23" t="str">
        <f>$A$18</f>
        <v>All occupations</v>
      </c>
      <c r="X56" s="25">
        <f>IF(Y$6-X$6 &lt;&gt; 0,(EXP(LN(Y18/X18)/(Y$6-X$6))-1)*100,0)</f>
        <v>1.8866615348276605</v>
      </c>
      <c r="Y56" s="25">
        <f>IF(Z$6-Y$6 &lt;&gt; 0,(EXP(LN(Z18/Y18)/(Z$6-Y$6))-1)*100,0)</f>
        <v>-0.31885809983951408</v>
      </c>
      <c r="Z56" s="25">
        <f>IF(AA$6-Z$6 &lt;&gt; 0,(EXP(LN(AA18/Z18)/(AA$6-Z$6))-1)*100,0)</f>
        <v>0.99492209370750651</v>
      </c>
      <c r="AA56" s="25">
        <f>IF(AB$6-AA$6 &lt;&gt; 0,(EXP(LN(AB18/AA18)/(AB$6-AA$6))-1)*100,0)</f>
        <v>0.67452313511298101</v>
      </c>
      <c r="AB56" s="25">
        <f t="shared" ref="AB56" si="75">IF(AB$6-Z$6 &lt;&gt; 0,(EXP(LN(AB18/Z18)/(AB$6-Z$6))-1)*100,0)</f>
        <v>0.78120969043034005</v>
      </c>
      <c r="AD56" s="25">
        <f t="shared" ref="AD56:AF56" si="76">IF($F$6-$D$6 &lt;&gt; 0,(EXP(LN(1+(AD36/100))/($F$6-$D$6))-1)*100,0)</f>
        <v>0.78120969043034005</v>
      </c>
      <c r="AE56" s="25">
        <f t="shared" si="76"/>
        <v>3.1970597074383988</v>
      </c>
      <c r="AF56" s="25">
        <f t="shared" si="76"/>
        <v>3.7101002590096632</v>
      </c>
    </row>
    <row r="57" spans="1:32" x14ac:dyDescent="0.2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2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2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2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2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2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2">
      <c r="A64" t="str">
        <f>$A$8</f>
        <v>Managers, directors and senior officials</v>
      </c>
      <c r="B64" s="26">
        <f t="shared" ref="B64:E72" si="77">C8-B8</f>
        <v>46.393064507105521</v>
      </c>
      <c r="C64" s="26">
        <f t="shared" si="77"/>
        <v>8.5606332049123353</v>
      </c>
      <c r="D64" s="26">
        <f t="shared" si="77"/>
        <v>14.329713183956471</v>
      </c>
      <c r="E64" s="26">
        <f t="shared" si="77"/>
        <v>43.147757855093346</v>
      </c>
      <c r="F64" s="26">
        <f>F8-D8</f>
        <v>57.477471039049817</v>
      </c>
      <c r="L64" t="str">
        <f>$A$8</f>
        <v>Managers, directors and senior officials</v>
      </c>
      <c r="M64" s="26">
        <f t="shared" ref="M64:M72" si="78">N8-M8</f>
        <v>24.095100088732181</v>
      </c>
      <c r="N64" s="26">
        <f t="shared" ref="N64:N72" si="79">O8-N8</f>
        <v>-0.39632607552823629</v>
      </c>
      <c r="O64" s="26">
        <f t="shared" ref="O64:O72" si="80">P8-O8</f>
        <v>6.3744385283526412</v>
      </c>
      <c r="P64" s="26">
        <f t="shared" ref="P64:P72" si="81">Q8-P8</f>
        <v>23.607914816149275</v>
      </c>
      <c r="Q64" s="26">
        <f>Q8-O8</f>
        <v>29.982353344501917</v>
      </c>
      <c r="W64" t="str">
        <f>$A$8</f>
        <v>Managers, directors and senior officials</v>
      </c>
      <c r="X64" s="26">
        <f t="shared" ref="X64:X72" si="82">Y8-X8</f>
        <v>22.297964418373937</v>
      </c>
      <c r="Y64" s="26">
        <f t="shared" ref="Y64:Y72" si="83">Z8-Y8</f>
        <v>8.9569592804394347</v>
      </c>
      <c r="Z64" s="26">
        <f t="shared" ref="Z64:Z72" si="84">AA8-Z8</f>
        <v>7.9552746556049101</v>
      </c>
      <c r="AA64" s="26">
        <f t="shared" ref="AA64:AA72" si="85">AB8-AA8</f>
        <v>19.539843038943616</v>
      </c>
      <c r="AB64" s="26">
        <f>AB8-Z8</f>
        <v>27.495117694548526</v>
      </c>
    </row>
    <row r="65" spans="1:31" x14ac:dyDescent="0.2">
      <c r="A65" t="str">
        <f>$A$9</f>
        <v>Professional occupations</v>
      </c>
      <c r="B65" s="26">
        <f t="shared" si="77"/>
        <v>76.845990084499022</v>
      </c>
      <c r="C65" s="26">
        <f t="shared" si="77"/>
        <v>20.594996833443702</v>
      </c>
      <c r="D65" s="26">
        <f t="shared" si="77"/>
        <v>62.371576595283727</v>
      </c>
      <c r="E65" s="26">
        <f t="shared" si="77"/>
        <v>94.699555772454573</v>
      </c>
      <c r="F65" s="26">
        <f t="shared" ref="F65:F72" si="86">F9-D9</f>
        <v>157.0711323677383</v>
      </c>
      <c r="L65" t="str">
        <f>$A$9</f>
        <v>Professional occupations</v>
      </c>
      <c r="M65" s="26">
        <f t="shared" si="78"/>
        <v>32.991241749965582</v>
      </c>
      <c r="N65" s="26">
        <f t="shared" si="79"/>
        <v>5.2106846915498295</v>
      </c>
      <c r="O65" s="26">
        <f t="shared" si="80"/>
        <v>28.347607669653257</v>
      </c>
      <c r="P65" s="26">
        <f t="shared" si="81"/>
        <v>40.254942651382407</v>
      </c>
      <c r="Q65" s="26">
        <f t="shared" ref="Q65:Q72" si="87">Q9-O9</f>
        <v>68.602550321035665</v>
      </c>
      <c r="W65" t="str">
        <f>$A$9</f>
        <v>Professional occupations</v>
      </c>
      <c r="X65" s="26">
        <f t="shared" si="82"/>
        <v>43.854748334533213</v>
      </c>
      <c r="Y65" s="26">
        <f t="shared" si="83"/>
        <v>15.384312141894384</v>
      </c>
      <c r="Z65" s="26">
        <f t="shared" si="84"/>
        <v>34.023968925629504</v>
      </c>
      <c r="AA65" s="26">
        <f t="shared" si="85"/>
        <v>54.44461312107336</v>
      </c>
      <c r="AB65" s="26">
        <f t="shared" ref="AB65:AB72" si="88">AB9-Z9</f>
        <v>88.468582046702863</v>
      </c>
    </row>
    <row r="66" spans="1:31" x14ac:dyDescent="0.2">
      <c r="A66" t="str">
        <f>$A$10</f>
        <v>Associate professional occupations</v>
      </c>
      <c r="B66" s="26">
        <f t="shared" si="77"/>
        <v>29.546007072325779</v>
      </c>
      <c r="C66" s="26">
        <f t="shared" si="77"/>
        <v>14.002447862904489</v>
      </c>
      <c r="D66" s="26">
        <f t="shared" si="77"/>
        <v>0.1803097393809594</v>
      </c>
      <c r="E66" s="26">
        <f t="shared" si="77"/>
        <v>35.679643049562685</v>
      </c>
      <c r="F66" s="26">
        <f t="shared" si="86"/>
        <v>35.859952788943644</v>
      </c>
      <c r="L66" t="str">
        <f>$A$10</f>
        <v>Associate professional occupations</v>
      </c>
      <c r="M66" s="26">
        <f t="shared" si="78"/>
        <v>10.228651404588817</v>
      </c>
      <c r="N66" s="26">
        <f t="shared" si="79"/>
        <v>4.6845141572218552</v>
      </c>
      <c r="O66" s="26">
        <f t="shared" si="80"/>
        <v>-9.2635435800488608</v>
      </c>
      <c r="P66" s="26">
        <f t="shared" si="81"/>
        <v>8.651519415374878</v>
      </c>
      <c r="Q66" s="26">
        <f t="shared" si="87"/>
        <v>-0.6120241646739828</v>
      </c>
      <c r="W66" t="str">
        <f>$A$10</f>
        <v>Associate professional occupations</v>
      </c>
      <c r="X66" s="26">
        <f t="shared" si="82"/>
        <v>19.317355667736678</v>
      </c>
      <c r="Y66" s="26">
        <f t="shared" si="83"/>
        <v>9.3179337056827762</v>
      </c>
      <c r="Z66" s="26">
        <f t="shared" si="84"/>
        <v>9.443853319429877</v>
      </c>
      <c r="AA66" s="26">
        <f t="shared" si="85"/>
        <v>27.028123634187409</v>
      </c>
      <c r="AB66" s="26">
        <f t="shared" si="88"/>
        <v>36.471976953617286</v>
      </c>
    </row>
    <row r="67" spans="1:31" x14ac:dyDescent="0.2">
      <c r="A67" t="str">
        <f>$A$11</f>
        <v>Administrative and secretarial occupations</v>
      </c>
      <c r="B67" s="26">
        <f t="shared" si="77"/>
        <v>-6.9509857634272976</v>
      </c>
      <c r="C67" s="26">
        <f t="shared" si="77"/>
        <v>11.063731581030595</v>
      </c>
      <c r="D67" s="26">
        <f t="shared" si="77"/>
        <v>-14.800927200579338</v>
      </c>
      <c r="E67" s="26">
        <f t="shared" si="77"/>
        <v>-17.910140189137849</v>
      </c>
      <c r="F67" s="26">
        <f t="shared" si="86"/>
        <v>-32.711067389717186</v>
      </c>
      <c r="L67" t="str">
        <f>$A$11</f>
        <v>Administrative and secretarial occupations</v>
      </c>
      <c r="M67" s="26">
        <f t="shared" si="78"/>
        <v>-6.8178102666511933</v>
      </c>
      <c r="N67" s="26">
        <f t="shared" si="79"/>
        <v>10.710965360891151</v>
      </c>
      <c r="O67" s="26">
        <f t="shared" si="80"/>
        <v>-1.9451487427651415</v>
      </c>
      <c r="P67" s="26">
        <f t="shared" si="81"/>
        <v>4.9229248689953948</v>
      </c>
      <c r="Q67" s="26">
        <f t="shared" si="87"/>
        <v>2.9777761262302533</v>
      </c>
      <c r="W67" t="str">
        <f>$A$11</f>
        <v>Administrative and secretarial occupations</v>
      </c>
      <c r="X67" s="26">
        <f t="shared" si="82"/>
        <v>-0.13317549677643115</v>
      </c>
      <c r="Y67" s="26">
        <f t="shared" si="83"/>
        <v>0.3527662201392161</v>
      </c>
      <c r="Z67" s="26">
        <f t="shared" si="84"/>
        <v>-12.855778457813869</v>
      </c>
      <c r="AA67" s="26">
        <f t="shared" si="85"/>
        <v>-22.833065058133201</v>
      </c>
      <c r="AB67" s="26">
        <f t="shared" si="88"/>
        <v>-35.68884351594707</v>
      </c>
    </row>
    <row r="68" spans="1:31" x14ac:dyDescent="0.2">
      <c r="A68" t="str">
        <f>$A$12</f>
        <v>Skilled trades occupations</v>
      </c>
      <c r="B68" s="26">
        <f t="shared" si="77"/>
        <v>-1.5595069792470895</v>
      </c>
      <c r="C68" s="26">
        <f t="shared" si="77"/>
        <v>-32.370937619401218</v>
      </c>
      <c r="D68" s="26">
        <f t="shared" si="77"/>
        <v>9.1675510925122694</v>
      </c>
      <c r="E68" s="26">
        <f t="shared" si="77"/>
        <v>-0.68989090848003798</v>
      </c>
      <c r="F68" s="26">
        <f t="shared" si="86"/>
        <v>8.4776601840322314</v>
      </c>
      <c r="L68" t="str">
        <f>$A$12</f>
        <v>Skilled trades occupations</v>
      </c>
      <c r="M68" s="26">
        <f t="shared" si="78"/>
        <v>-3.9636904675883784</v>
      </c>
      <c r="N68" s="26">
        <f t="shared" si="79"/>
        <v>-34.502542270952574</v>
      </c>
      <c r="O68" s="26">
        <f t="shared" si="80"/>
        <v>3.9231590628642721</v>
      </c>
      <c r="P68" s="26">
        <f t="shared" si="81"/>
        <v>-5.1654478326736353</v>
      </c>
      <c r="Q68" s="26">
        <f t="shared" si="87"/>
        <v>-1.2422887698093632</v>
      </c>
      <c r="W68" t="str">
        <f>$A$12</f>
        <v>Skilled trades occupations</v>
      </c>
      <c r="X68" s="26">
        <f t="shared" si="82"/>
        <v>2.4041834883412747</v>
      </c>
      <c r="Y68" s="26">
        <f t="shared" si="83"/>
        <v>2.1316046515513634</v>
      </c>
      <c r="Z68" s="26">
        <f t="shared" si="84"/>
        <v>5.2443920296481252</v>
      </c>
      <c r="AA68" s="26">
        <f t="shared" si="85"/>
        <v>4.4755569241932989</v>
      </c>
      <c r="AB68" s="26">
        <f t="shared" si="88"/>
        <v>9.7199489538414241</v>
      </c>
    </row>
    <row r="69" spans="1:31" x14ac:dyDescent="0.2">
      <c r="A69" t="str">
        <f>$A$13</f>
        <v>Caring, leisure and other service occupations</v>
      </c>
      <c r="B69" s="26">
        <f t="shared" si="77"/>
        <v>4.3680592431786636</v>
      </c>
      <c r="C69" s="26">
        <f t="shared" si="77"/>
        <v>-17.353434749110193</v>
      </c>
      <c r="D69" s="26">
        <f t="shared" si="77"/>
        <v>26.408633586132169</v>
      </c>
      <c r="E69" s="26">
        <f t="shared" si="77"/>
        <v>32.573688867095029</v>
      </c>
      <c r="F69" s="26">
        <f t="shared" si="86"/>
        <v>58.982322453227198</v>
      </c>
      <c r="L69" t="str">
        <f>$A$13</f>
        <v>Caring, leisure and other service occupations</v>
      </c>
      <c r="M69" s="26">
        <f t="shared" si="78"/>
        <v>0.91561648245578908</v>
      </c>
      <c r="N69" s="26">
        <f t="shared" si="79"/>
        <v>0.41129797529747236</v>
      </c>
      <c r="O69" s="26">
        <f t="shared" si="80"/>
        <v>6.3319048317240814</v>
      </c>
      <c r="P69" s="26">
        <f t="shared" si="81"/>
        <v>8.6774407917884631</v>
      </c>
      <c r="Q69" s="26">
        <f t="shared" si="87"/>
        <v>15.009345623512544</v>
      </c>
      <c r="W69" t="str">
        <f>$A$13</f>
        <v>Caring, leisure and other service occupations</v>
      </c>
      <c r="X69" s="26">
        <f t="shared" si="82"/>
        <v>3.4524427607229882</v>
      </c>
      <c r="Y69" s="26">
        <f t="shared" si="83"/>
        <v>-17.764732724407764</v>
      </c>
      <c r="Z69" s="26">
        <f t="shared" si="84"/>
        <v>20.076728754408038</v>
      </c>
      <c r="AA69" s="26">
        <f t="shared" si="85"/>
        <v>23.896248075306545</v>
      </c>
      <c r="AB69" s="26">
        <f t="shared" si="88"/>
        <v>43.972976829714582</v>
      </c>
    </row>
    <row r="70" spans="1:31" x14ac:dyDescent="0.2">
      <c r="A70" t="str">
        <f>$A$14</f>
        <v>Sales and customer service occupations</v>
      </c>
      <c r="B70" s="26">
        <f t="shared" si="77"/>
        <v>-5.5343965556771479</v>
      </c>
      <c r="C70" s="26">
        <f t="shared" si="77"/>
        <v>2.1236322430960684</v>
      </c>
      <c r="D70" s="26">
        <f t="shared" si="77"/>
        <v>1.9109783360221968</v>
      </c>
      <c r="E70" s="26">
        <f t="shared" si="77"/>
        <v>-0.89298247750599558</v>
      </c>
      <c r="F70" s="26">
        <f t="shared" si="86"/>
        <v>1.0179958585162012</v>
      </c>
      <c r="L70" t="str">
        <f>$A$14</f>
        <v>Sales and customer service occupations</v>
      </c>
      <c r="M70" s="26">
        <f t="shared" si="78"/>
        <v>-2.6332450681214965</v>
      </c>
      <c r="N70" s="26">
        <f t="shared" si="79"/>
        <v>3.1169650247800149</v>
      </c>
      <c r="O70" s="26">
        <f t="shared" si="80"/>
        <v>2.8287322105737047</v>
      </c>
      <c r="P70" s="26">
        <f t="shared" si="81"/>
        <v>3.6835109308688914</v>
      </c>
      <c r="Q70" s="26">
        <f t="shared" si="87"/>
        <v>6.5122431414425961</v>
      </c>
      <c r="W70" t="str">
        <f>$A$14</f>
        <v>Sales and customer service occupations</v>
      </c>
      <c r="X70" s="26">
        <f t="shared" si="82"/>
        <v>-2.9011514875552962</v>
      </c>
      <c r="Y70" s="26">
        <f t="shared" si="83"/>
        <v>-0.99333278168469974</v>
      </c>
      <c r="Z70" s="26">
        <f t="shared" si="84"/>
        <v>-0.91775387455157897</v>
      </c>
      <c r="AA70" s="26">
        <f t="shared" si="85"/>
        <v>-4.5764934083746027</v>
      </c>
      <c r="AB70" s="26">
        <f t="shared" si="88"/>
        <v>-5.4942472829261817</v>
      </c>
    </row>
    <row r="71" spans="1:31" x14ac:dyDescent="0.2">
      <c r="A71" t="str">
        <f>$A$15</f>
        <v>Process, plant and machine operatives</v>
      </c>
      <c r="B71" s="26">
        <f t="shared" si="77"/>
        <v>2.8519074880902906</v>
      </c>
      <c r="C71" s="26">
        <f t="shared" si="77"/>
        <v>-17.615637914017896</v>
      </c>
      <c r="D71" s="26">
        <f t="shared" si="77"/>
        <v>18.904965416078852</v>
      </c>
      <c r="E71" s="26">
        <f t="shared" si="77"/>
        <v>1.8650476369868727</v>
      </c>
      <c r="F71" s="26">
        <f t="shared" si="86"/>
        <v>20.770013053065725</v>
      </c>
      <c r="L71" t="str">
        <f>$A$15</f>
        <v>Process, plant and machine operatives</v>
      </c>
      <c r="M71" s="26">
        <f t="shared" si="78"/>
        <v>0.89380708970364253</v>
      </c>
      <c r="N71" s="26">
        <f t="shared" si="79"/>
        <v>-14.90909783849969</v>
      </c>
      <c r="O71" s="26">
        <f t="shared" si="80"/>
        <v>11.969249638387055</v>
      </c>
      <c r="P71" s="26">
        <f t="shared" si="81"/>
        <v>-1.5763287365306837</v>
      </c>
      <c r="Q71" s="26">
        <f t="shared" si="87"/>
        <v>10.392920901856371</v>
      </c>
      <c r="W71" t="str">
        <f>$A$15</f>
        <v>Process, plant and machine operatives</v>
      </c>
      <c r="X71" s="26">
        <f t="shared" si="82"/>
        <v>1.9581003983866339</v>
      </c>
      <c r="Y71" s="26">
        <f t="shared" si="83"/>
        <v>-2.7065400755180953</v>
      </c>
      <c r="Z71" s="26">
        <f t="shared" si="84"/>
        <v>6.9357157776913141</v>
      </c>
      <c r="AA71" s="26">
        <f t="shared" si="85"/>
        <v>3.4413763735177945</v>
      </c>
      <c r="AB71" s="26">
        <f t="shared" si="88"/>
        <v>10.377092151209109</v>
      </c>
    </row>
    <row r="72" spans="1:31" x14ac:dyDescent="0.2">
      <c r="A72" t="str">
        <f>$A$16</f>
        <v>Elementary occupations</v>
      </c>
      <c r="B72" s="26">
        <f t="shared" si="77"/>
        <v>-1.7051390943088336</v>
      </c>
      <c r="C72" s="26">
        <f t="shared" si="77"/>
        <v>-21.525431446045445</v>
      </c>
      <c r="D72" s="26">
        <f t="shared" si="77"/>
        <v>10.595199249081418</v>
      </c>
      <c r="E72" s="26">
        <f t="shared" si="77"/>
        <v>-7.0346796031096801</v>
      </c>
      <c r="F72" s="26">
        <f t="shared" si="86"/>
        <v>3.5605196459717376</v>
      </c>
      <c r="L72" t="str">
        <f>$A$16</f>
        <v>Elementary occupations</v>
      </c>
      <c r="M72" s="26">
        <f t="shared" si="78"/>
        <v>-15.378671011020288</v>
      </c>
      <c r="N72" s="26">
        <f t="shared" si="79"/>
        <v>-2.2464610277804127</v>
      </c>
      <c r="O72" s="26">
        <f t="shared" si="80"/>
        <v>7.5266003787915849</v>
      </c>
      <c r="P72" s="26">
        <f t="shared" si="81"/>
        <v>-6.6904769047817467</v>
      </c>
      <c r="Q72" s="26">
        <f t="shared" si="87"/>
        <v>0.83612347400983822</v>
      </c>
      <c r="W72" t="str">
        <f>$A$16</f>
        <v>Elementary occupations</v>
      </c>
      <c r="X72" s="26">
        <f t="shared" si="82"/>
        <v>13.673531916710971</v>
      </c>
      <c r="Y72" s="26">
        <f t="shared" si="83"/>
        <v>-19.278970418264151</v>
      </c>
      <c r="Z72" s="26">
        <f t="shared" si="84"/>
        <v>3.0685988702902876</v>
      </c>
      <c r="AA72" s="26">
        <f t="shared" si="85"/>
        <v>-0.34420269832787653</v>
      </c>
      <c r="AB72" s="26">
        <f t="shared" si="88"/>
        <v>2.724396171962411</v>
      </c>
    </row>
    <row r="73" spans="1:31" x14ac:dyDescent="0.2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2">
      <c r="A74" s="23" t="str">
        <f>$A$18</f>
        <v>All occupations</v>
      </c>
      <c r="B74" s="28">
        <f>C18-B18</f>
        <v>144.25500000253851</v>
      </c>
      <c r="C74" s="28">
        <f t="shared" ref="C74" si="89">D18-C18</f>
        <v>-32.520000003187306</v>
      </c>
      <c r="D74" s="28">
        <f>E18-D18</f>
        <v>129.06799999786881</v>
      </c>
      <c r="E74" s="28">
        <f>F18-E18</f>
        <v>181.43800000295869</v>
      </c>
      <c r="F74" s="28">
        <f>F18-D18</f>
        <v>310.5060000008275</v>
      </c>
      <c r="L74" s="23" t="str">
        <f>$A$18</f>
        <v>All occupations</v>
      </c>
      <c r="M74" s="28">
        <f>N18-M18</f>
        <v>40.331000002064684</v>
      </c>
      <c r="N74" s="28">
        <f t="shared" ref="N74" si="90">O18-N18</f>
        <v>-27.920000003020959</v>
      </c>
      <c r="O74" s="28">
        <f>P18-O18</f>
        <v>56.09299999753307</v>
      </c>
      <c r="P74" s="28">
        <f>Q18-P18</f>
        <v>76.366000000573422</v>
      </c>
      <c r="Q74" s="28">
        <f>Q18-O18</f>
        <v>132.45899999810649</v>
      </c>
      <c r="W74" s="23" t="str">
        <f>$A$18</f>
        <v>All occupations</v>
      </c>
      <c r="X74" s="28">
        <f>Y18-X18</f>
        <v>103.92400000047382</v>
      </c>
      <c r="Y74" s="28">
        <f t="shared" ref="Y74" si="91">Z18-Y18</f>
        <v>-4.6000000001672561</v>
      </c>
      <c r="Z74" s="28">
        <f>AA18-Z18</f>
        <v>72.975000000336649</v>
      </c>
      <c r="AA74" s="28">
        <f>AB18-AA18</f>
        <v>105.07200000238595</v>
      </c>
      <c r="AB74" s="28">
        <f>AB18-Z18</f>
        <v>178.0470000027226</v>
      </c>
    </row>
    <row r="78" spans="1:31" x14ac:dyDescent="0.2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2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281.71796036085652</v>
      </c>
      <c r="C80" s="11">
        <f t="shared" si="92"/>
        <v>328.11102486796204</v>
      </c>
      <c r="D80" s="11">
        <f t="shared" si="92"/>
        <v>336.67165807287438</v>
      </c>
      <c r="E80" s="11">
        <f t="shared" si="92"/>
        <v>351.00137125683085</v>
      </c>
      <c r="F80" s="11">
        <f t="shared" si="92"/>
        <v>394.1491291119242</v>
      </c>
      <c r="H80" s="39">
        <f>IF(D$6-B$6 &lt;&gt; 0,(EXP(LN(D8/B8)/(D$6-B$6))-1)*100,0)</f>
        <v>3.6283073437189506</v>
      </c>
      <c r="I80" s="39">
        <f t="shared" ref="I80:I88" si="93">F46</f>
        <v>1.0563483155450193</v>
      </c>
      <c r="L80" t="str">
        <f t="shared" ref="L80:Q88" si="94">L8</f>
        <v>Managers, directors and senior officials</v>
      </c>
      <c r="M80" s="11">
        <f t="shared" si="94"/>
        <v>191.47594291485251</v>
      </c>
      <c r="N80" s="11">
        <f t="shared" si="94"/>
        <v>215.57104300358469</v>
      </c>
      <c r="O80" s="11">
        <f t="shared" si="94"/>
        <v>215.17471692805645</v>
      </c>
      <c r="P80" s="11">
        <f t="shared" si="94"/>
        <v>221.5491554564091</v>
      </c>
      <c r="Q80" s="11">
        <f t="shared" si="94"/>
        <v>245.15707027255837</v>
      </c>
      <c r="S80" s="39">
        <f t="shared" ref="S80:S88" si="95">IF(O$6-M$6 &lt;&gt; 0,(EXP(LN(O8/M8)/(O$6-M$6))-1)*100,0)</f>
        <v>2.3612085145479744</v>
      </c>
      <c r="T80" s="39">
        <f t="shared" ref="T80:T88" si="96">Q46</f>
        <v>0.87345100402198561</v>
      </c>
      <c r="W80" t="str">
        <f t="shared" ref="W80:AB88" si="97">W8</f>
        <v>Managers, directors and senior officials</v>
      </c>
      <c r="X80" s="11">
        <f t="shared" si="97"/>
        <v>90.242017446004212</v>
      </c>
      <c r="Y80" s="11">
        <f t="shared" si="97"/>
        <v>112.53998186437815</v>
      </c>
      <c r="Z80" s="11">
        <f t="shared" si="97"/>
        <v>121.49694114481758</v>
      </c>
      <c r="AA80" s="11">
        <f t="shared" si="97"/>
        <v>129.45221580042249</v>
      </c>
      <c r="AB80" s="11">
        <f t="shared" si="97"/>
        <v>148.99205883936611</v>
      </c>
      <c r="AD80" s="39">
        <f t="shared" ref="AD80:AD88" si="98">IF(Z$6-X$6 &lt;&gt; 0,(EXP(LN(Z8/X8)/(Z$6-X$6))-1)*100,0)</f>
        <v>6.1283249384525451</v>
      </c>
      <c r="AE80" s="39">
        <f t="shared" ref="AE80:AE88" si="99">AB46</f>
        <v>1.3693165681355035</v>
      </c>
    </row>
    <row r="81" spans="1:31" x14ac:dyDescent="0.2">
      <c r="A81" t="str">
        <f t="shared" si="92"/>
        <v>Professional occupations</v>
      </c>
      <c r="B81" s="11">
        <f t="shared" si="92"/>
        <v>555.82323062112903</v>
      </c>
      <c r="C81" s="11">
        <f t="shared" si="92"/>
        <v>632.66922070562805</v>
      </c>
      <c r="D81" s="11">
        <f t="shared" si="92"/>
        <v>653.26421753907175</v>
      </c>
      <c r="E81" s="11">
        <f t="shared" si="92"/>
        <v>715.63579413435548</v>
      </c>
      <c r="F81" s="11">
        <f t="shared" si="92"/>
        <v>810.33534990681005</v>
      </c>
      <c r="H81" s="39">
        <f t="shared" ref="H81:H88" si="100">IF(D$6-B$6 &lt;&gt; 0,(EXP(LN(D9/B9)/(D$6-B$6))-1)*100,0)</f>
        <v>3.283378397046044</v>
      </c>
      <c r="I81" s="39">
        <f t="shared" si="93"/>
        <v>1.44680979585321</v>
      </c>
      <c r="L81" t="str">
        <f t="shared" si="94"/>
        <v>Professional occupations</v>
      </c>
      <c r="M81" s="11">
        <f t="shared" si="94"/>
        <v>295.17830645494951</v>
      </c>
      <c r="N81" s="11">
        <f t="shared" si="94"/>
        <v>328.16954820491509</v>
      </c>
      <c r="O81" s="11">
        <f t="shared" si="94"/>
        <v>333.38023289646492</v>
      </c>
      <c r="P81" s="11">
        <f t="shared" si="94"/>
        <v>361.72784056611818</v>
      </c>
      <c r="Q81" s="11">
        <f t="shared" si="94"/>
        <v>401.98278321750058</v>
      </c>
      <c r="S81" s="39">
        <f t="shared" si="95"/>
        <v>2.4639471238407262</v>
      </c>
      <c r="T81" s="39">
        <f t="shared" si="96"/>
        <v>1.2553176600376359</v>
      </c>
      <c r="W81" t="str">
        <f t="shared" si="97"/>
        <v>Professional occupations</v>
      </c>
      <c r="X81" s="11">
        <f t="shared" si="97"/>
        <v>260.64492416618015</v>
      </c>
      <c r="Y81" s="11">
        <f t="shared" si="97"/>
        <v>304.49967250071336</v>
      </c>
      <c r="Z81" s="11">
        <f t="shared" si="97"/>
        <v>319.88398464260774</v>
      </c>
      <c r="AA81" s="11">
        <f t="shared" si="97"/>
        <v>353.90795356823725</v>
      </c>
      <c r="AB81" s="11">
        <f t="shared" si="97"/>
        <v>408.35256668931061</v>
      </c>
      <c r="AD81" s="39">
        <f t="shared" si="98"/>
        <v>4.1810295774730388</v>
      </c>
      <c r="AE81" s="39">
        <f t="shared" si="99"/>
        <v>1.641138145845833</v>
      </c>
    </row>
    <row r="82" spans="1:31" x14ac:dyDescent="0.2">
      <c r="A82" t="str">
        <f t="shared" si="92"/>
        <v>Associate professional occupations</v>
      </c>
      <c r="B82" s="11">
        <f t="shared" si="92"/>
        <v>332.20088542727456</v>
      </c>
      <c r="C82" s="11">
        <f t="shared" si="92"/>
        <v>361.74689249960034</v>
      </c>
      <c r="D82" s="11">
        <f t="shared" si="92"/>
        <v>375.74934036250482</v>
      </c>
      <c r="E82" s="11">
        <f t="shared" si="92"/>
        <v>375.92965010188578</v>
      </c>
      <c r="F82" s="11">
        <f t="shared" si="92"/>
        <v>411.60929315144847</v>
      </c>
      <c r="H82" s="39">
        <f t="shared" si="100"/>
        <v>2.4942467880411323</v>
      </c>
      <c r="I82" s="39">
        <f t="shared" si="93"/>
        <v>0.60953219122281688</v>
      </c>
      <c r="L82" t="str">
        <f t="shared" si="94"/>
        <v>Associate professional occupations</v>
      </c>
      <c r="M82" s="11">
        <f t="shared" si="94"/>
        <v>175.23675018487666</v>
      </c>
      <c r="N82" s="11">
        <f t="shared" si="94"/>
        <v>185.46540158946547</v>
      </c>
      <c r="O82" s="11">
        <f t="shared" si="94"/>
        <v>190.14991574668733</v>
      </c>
      <c r="P82" s="11">
        <f t="shared" si="94"/>
        <v>180.88637216663847</v>
      </c>
      <c r="Q82" s="11">
        <f t="shared" si="94"/>
        <v>189.53789158201334</v>
      </c>
      <c r="S82" s="39">
        <f t="shared" si="95"/>
        <v>1.6469119812928312</v>
      </c>
      <c r="T82" s="39">
        <f t="shared" si="96"/>
        <v>-2.1489898414162045E-2</v>
      </c>
      <c r="W82" t="str">
        <f t="shared" si="97"/>
        <v>Associate professional occupations</v>
      </c>
      <c r="X82" s="11">
        <f t="shared" si="97"/>
        <v>156.96413524239804</v>
      </c>
      <c r="Y82" s="11">
        <f t="shared" si="97"/>
        <v>176.28149091013472</v>
      </c>
      <c r="Z82" s="11">
        <f t="shared" si="97"/>
        <v>185.5994246158175</v>
      </c>
      <c r="AA82" s="11">
        <f t="shared" si="97"/>
        <v>195.04327793524737</v>
      </c>
      <c r="AB82" s="11">
        <f t="shared" si="97"/>
        <v>222.07140156943478</v>
      </c>
      <c r="AD82" s="39">
        <f t="shared" si="98"/>
        <v>3.4082619586246921</v>
      </c>
      <c r="AE82" s="39">
        <f t="shared" si="99"/>
        <v>1.2032362635034266</v>
      </c>
    </row>
    <row r="83" spans="1:31" x14ac:dyDescent="0.2">
      <c r="A83" t="str">
        <f t="shared" si="92"/>
        <v>Administrative and secretarial occupations</v>
      </c>
      <c r="B83" s="11">
        <f t="shared" si="92"/>
        <v>290.22815410380076</v>
      </c>
      <c r="C83" s="11">
        <f t="shared" si="92"/>
        <v>283.27716834037346</v>
      </c>
      <c r="D83" s="11">
        <f t="shared" si="92"/>
        <v>294.34089992140406</v>
      </c>
      <c r="E83" s="11">
        <f t="shared" si="92"/>
        <v>279.53997272082472</v>
      </c>
      <c r="F83" s="11">
        <f t="shared" si="92"/>
        <v>261.62983253168687</v>
      </c>
      <c r="H83" s="39">
        <f t="shared" si="100"/>
        <v>0.2818217168554682</v>
      </c>
      <c r="I83" s="39">
        <f t="shared" si="93"/>
        <v>-0.78231034793608822</v>
      </c>
      <c r="L83" t="str">
        <f t="shared" si="94"/>
        <v>Administrative and secretarial occupations</v>
      </c>
      <c r="M83" s="11">
        <f t="shared" si="94"/>
        <v>67.416262462639864</v>
      </c>
      <c r="N83" s="11">
        <f t="shared" si="94"/>
        <v>60.598452195988671</v>
      </c>
      <c r="O83" s="11">
        <f t="shared" si="94"/>
        <v>71.309417556879822</v>
      </c>
      <c r="P83" s="11">
        <f t="shared" si="94"/>
        <v>69.364268814114681</v>
      </c>
      <c r="Q83" s="11">
        <f t="shared" si="94"/>
        <v>74.287193683110075</v>
      </c>
      <c r="S83" s="39">
        <f t="shared" si="95"/>
        <v>1.1291701502849527</v>
      </c>
      <c r="T83" s="39">
        <f t="shared" si="96"/>
        <v>0.27310675916818461</v>
      </c>
      <c r="W83" t="str">
        <f t="shared" si="97"/>
        <v>Administrative and secretarial occupations</v>
      </c>
      <c r="X83" s="11">
        <f t="shared" si="97"/>
        <v>222.8118916411612</v>
      </c>
      <c r="Y83" s="11">
        <f t="shared" si="97"/>
        <v>222.67871614438477</v>
      </c>
      <c r="Z83" s="11">
        <f t="shared" si="97"/>
        <v>223.03148236452398</v>
      </c>
      <c r="AA83" s="11">
        <f t="shared" si="97"/>
        <v>210.17570390671011</v>
      </c>
      <c r="AB83" s="11">
        <f t="shared" si="97"/>
        <v>187.34263884857691</v>
      </c>
      <c r="AD83" s="39">
        <f t="shared" si="98"/>
        <v>1.9703096315937252E-2</v>
      </c>
      <c r="AE83" s="39">
        <f t="shared" si="99"/>
        <v>-1.1557605391988912</v>
      </c>
    </row>
    <row r="84" spans="1:31" x14ac:dyDescent="0.2">
      <c r="A84" t="str">
        <f t="shared" si="92"/>
        <v>Skilled trades occupations</v>
      </c>
      <c r="B84" s="11">
        <f t="shared" si="92"/>
        <v>331.94362953220332</v>
      </c>
      <c r="C84" s="11">
        <f t="shared" si="92"/>
        <v>330.38412255295623</v>
      </c>
      <c r="D84" s="11">
        <f t="shared" si="92"/>
        <v>298.01318493355501</v>
      </c>
      <c r="E84" s="11">
        <f t="shared" si="92"/>
        <v>307.18073602606728</v>
      </c>
      <c r="F84" s="11">
        <f t="shared" si="92"/>
        <v>306.49084511758724</v>
      </c>
      <c r="H84" s="39">
        <f t="shared" si="100"/>
        <v>-2.1334614228158855</v>
      </c>
      <c r="I84" s="39">
        <f t="shared" si="93"/>
        <v>0.18717599297484178</v>
      </c>
      <c r="L84" t="str">
        <f t="shared" si="94"/>
        <v>Skilled trades occupations</v>
      </c>
      <c r="M84" s="11">
        <f t="shared" si="94"/>
        <v>300.34926880537574</v>
      </c>
      <c r="N84" s="11">
        <f t="shared" si="94"/>
        <v>296.38557833778736</v>
      </c>
      <c r="O84" s="11">
        <f t="shared" si="94"/>
        <v>261.88303606683479</v>
      </c>
      <c r="P84" s="11">
        <f t="shared" si="94"/>
        <v>265.80619512969906</v>
      </c>
      <c r="Q84" s="11">
        <f t="shared" si="94"/>
        <v>260.64074729702543</v>
      </c>
      <c r="S84" s="39">
        <f t="shared" si="95"/>
        <v>-2.7037375321924517</v>
      </c>
      <c r="T84" s="39">
        <f t="shared" si="96"/>
        <v>-3.1694741792820391E-2</v>
      </c>
      <c r="W84" t="str">
        <f t="shared" si="97"/>
        <v>Skilled trades occupations</v>
      </c>
      <c r="X84" s="11">
        <f t="shared" si="97"/>
        <v>31.594360726827453</v>
      </c>
      <c r="Y84" s="11">
        <f t="shared" si="97"/>
        <v>33.998544215168728</v>
      </c>
      <c r="Z84" s="11">
        <f t="shared" si="97"/>
        <v>36.130148866720091</v>
      </c>
      <c r="AA84" s="11">
        <f t="shared" si="97"/>
        <v>41.374540896368217</v>
      </c>
      <c r="AB84" s="11">
        <f t="shared" si="97"/>
        <v>45.850097820561516</v>
      </c>
      <c r="AD84" s="39">
        <f t="shared" si="98"/>
        <v>2.7192963505952017</v>
      </c>
      <c r="AE84" s="39">
        <f t="shared" si="99"/>
        <v>1.6010121400960697</v>
      </c>
    </row>
    <row r="85" spans="1:31" x14ac:dyDescent="0.2">
      <c r="A85" t="str">
        <f t="shared" si="92"/>
        <v>Caring, leisure and other service occupations</v>
      </c>
      <c r="B85" s="11">
        <f t="shared" si="92"/>
        <v>290.07070785869405</v>
      </c>
      <c r="C85" s="11">
        <f t="shared" si="92"/>
        <v>294.43876710187271</v>
      </c>
      <c r="D85" s="11">
        <f t="shared" si="92"/>
        <v>277.08533235276252</v>
      </c>
      <c r="E85" s="11">
        <f t="shared" si="92"/>
        <v>303.49396593889469</v>
      </c>
      <c r="F85" s="11">
        <f t="shared" si="92"/>
        <v>336.06765480598972</v>
      </c>
      <c r="H85" s="39">
        <f t="shared" si="100"/>
        <v>-0.91180156061418938</v>
      </c>
      <c r="I85" s="39">
        <f t="shared" si="93"/>
        <v>1.2948918838459944</v>
      </c>
      <c r="L85" t="str">
        <f t="shared" si="94"/>
        <v>Caring, leisure and other service occupations</v>
      </c>
      <c r="M85" s="11">
        <f t="shared" si="94"/>
        <v>41.310348540656179</v>
      </c>
      <c r="N85" s="11">
        <f t="shared" si="94"/>
        <v>42.225965023111968</v>
      </c>
      <c r="O85" s="11">
        <f t="shared" si="94"/>
        <v>42.63726299840944</v>
      </c>
      <c r="P85" s="11">
        <f t="shared" si="94"/>
        <v>48.969167830133522</v>
      </c>
      <c r="Q85" s="11">
        <f t="shared" si="94"/>
        <v>57.646608621921985</v>
      </c>
      <c r="S85" s="39">
        <f t="shared" si="95"/>
        <v>0.63431431890359491</v>
      </c>
      <c r="T85" s="39">
        <f t="shared" si="96"/>
        <v>2.0310359720786986</v>
      </c>
      <c r="W85" t="str">
        <f t="shared" si="97"/>
        <v>Caring, leisure and other service occupations</v>
      </c>
      <c r="X85" s="11">
        <f t="shared" si="97"/>
        <v>248.76035931803787</v>
      </c>
      <c r="Y85" s="11">
        <f t="shared" si="97"/>
        <v>252.21280207876086</v>
      </c>
      <c r="Z85" s="11">
        <f t="shared" si="97"/>
        <v>234.44806935435309</v>
      </c>
      <c r="AA85" s="11">
        <f t="shared" si="97"/>
        <v>254.52479810876113</v>
      </c>
      <c r="AB85" s="11">
        <f t="shared" si="97"/>
        <v>278.42104618406768</v>
      </c>
      <c r="AD85" s="39">
        <f t="shared" si="98"/>
        <v>-1.1781233331315866</v>
      </c>
      <c r="AE85" s="39">
        <f t="shared" si="99"/>
        <v>1.1525945134314375</v>
      </c>
    </row>
    <row r="86" spans="1:31" x14ac:dyDescent="0.2">
      <c r="A86" t="str">
        <f t="shared" si="92"/>
        <v>Sales and customer service occupations</v>
      </c>
      <c r="B86" s="11">
        <f t="shared" si="92"/>
        <v>256.84031370282202</v>
      </c>
      <c r="C86" s="11">
        <f t="shared" si="92"/>
        <v>251.30591714714487</v>
      </c>
      <c r="D86" s="11">
        <f t="shared" si="92"/>
        <v>253.42954939024094</v>
      </c>
      <c r="E86" s="11">
        <f t="shared" si="92"/>
        <v>255.34052772626313</v>
      </c>
      <c r="F86" s="11">
        <f t="shared" si="92"/>
        <v>254.44754524875714</v>
      </c>
      <c r="H86" s="39">
        <f t="shared" si="100"/>
        <v>-0.26701630735606052</v>
      </c>
      <c r="I86" s="39">
        <f t="shared" si="93"/>
        <v>2.672912475363276E-2</v>
      </c>
      <c r="L86" t="str">
        <f t="shared" si="94"/>
        <v>Sales and customer service occupations</v>
      </c>
      <c r="M86" s="11">
        <f t="shared" si="94"/>
        <v>96.905498737978846</v>
      </c>
      <c r="N86" s="11">
        <f t="shared" si="94"/>
        <v>94.272253669857349</v>
      </c>
      <c r="O86" s="11">
        <f t="shared" si="94"/>
        <v>97.389218694637364</v>
      </c>
      <c r="P86" s="11">
        <f t="shared" si="94"/>
        <v>100.21795090521107</v>
      </c>
      <c r="Q86" s="11">
        <f t="shared" si="94"/>
        <v>103.90146183607996</v>
      </c>
      <c r="S86" s="39">
        <f t="shared" si="95"/>
        <v>9.9634596178499457E-2</v>
      </c>
      <c r="T86" s="39">
        <f t="shared" si="96"/>
        <v>0.432448733474744</v>
      </c>
      <c r="W86" t="str">
        <f t="shared" si="97"/>
        <v>Sales and customer service occupations</v>
      </c>
      <c r="X86" s="11">
        <f t="shared" si="97"/>
        <v>159.93481496484333</v>
      </c>
      <c r="Y86" s="11">
        <f t="shared" si="97"/>
        <v>157.03366347728803</v>
      </c>
      <c r="Z86" s="11">
        <f t="shared" si="97"/>
        <v>156.04033069560333</v>
      </c>
      <c r="AA86" s="11">
        <f t="shared" si="97"/>
        <v>155.12257682105175</v>
      </c>
      <c r="AB86" s="11">
        <f t="shared" si="97"/>
        <v>150.54608341267715</v>
      </c>
      <c r="AD86" s="39">
        <f t="shared" si="98"/>
        <v>-0.49182300670063128</v>
      </c>
      <c r="AE86" s="39">
        <f t="shared" si="99"/>
        <v>-0.23868312802055591</v>
      </c>
    </row>
    <row r="87" spans="1:31" x14ac:dyDescent="0.2">
      <c r="A87" t="str">
        <f t="shared" si="92"/>
        <v>Process, plant and machine operatives</v>
      </c>
      <c r="B87" s="11">
        <f t="shared" si="92"/>
        <v>159.49949243494439</v>
      </c>
      <c r="C87" s="11">
        <f t="shared" si="92"/>
        <v>162.35139992303468</v>
      </c>
      <c r="D87" s="11">
        <f t="shared" si="92"/>
        <v>144.73576200901678</v>
      </c>
      <c r="E87" s="11">
        <f t="shared" si="92"/>
        <v>163.64072742509563</v>
      </c>
      <c r="F87" s="11">
        <f t="shared" si="92"/>
        <v>165.50577506208251</v>
      </c>
      <c r="H87" s="39">
        <f t="shared" si="100"/>
        <v>-1.9238725536881773</v>
      </c>
      <c r="I87" s="39">
        <f t="shared" si="93"/>
        <v>0.89798349522764997</v>
      </c>
      <c r="L87" t="str">
        <f t="shared" si="94"/>
        <v>Process, plant and machine operatives</v>
      </c>
      <c r="M87" s="11">
        <f t="shared" si="94"/>
        <v>137.87786954293162</v>
      </c>
      <c r="N87" s="11">
        <f t="shared" si="94"/>
        <v>138.77167663263526</v>
      </c>
      <c r="O87" s="11">
        <f t="shared" si="94"/>
        <v>123.86257879413557</v>
      </c>
      <c r="P87" s="11">
        <f t="shared" si="94"/>
        <v>135.83182843252263</v>
      </c>
      <c r="Q87" s="11">
        <f t="shared" si="94"/>
        <v>134.25549969599194</v>
      </c>
      <c r="S87" s="39">
        <f t="shared" si="95"/>
        <v>-2.1210930669091077</v>
      </c>
      <c r="T87" s="39">
        <f t="shared" si="96"/>
        <v>0.53859177259931723</v>
      </c>
      <c r="W87" t="str">
        <f t="shared" si="97"/>
        <v>Process, plant and machine operatives</v>
      </c>
      <c r="X87" s="11">
        <f t="shared" si="97"/>
        <v>21.62162289201288</v>
      </c>
      <c r="Y87" s="11">
        <f t="shared" si="97"/>
        <v>23.579723290399514</v>
      </c>
      <c r="Z87" s="11">
        <f t="shared" si="97"/>
        <v>20.873183214881418</v>
      </c>
      <c r="AA87" s="11">
        <f t="shared" si="97"/>
        <v>27.808898992572733</v>
      </c>
      <c r="AB87" s="11">
        <f t="shared" si="97"/>
        <v>31.250275366090527</v>
      </c>
      <c r="AD87" s="39">
        <f t="shared" si="98"/>
        <v>-0.70209647429078093</v>
      </c>
      <c r="AE87" s="39">
        <f t="shared" si="99"/>
        <v>2.7269382391376551</v>
      </c>
    </row>
    <row r="88" spans="1:31" x14ac:dyDescent="0.2">
      <c r="A88" t="str">
        <f t="shared" si="92"/>
        <v>Elementary occupations</v>
      </c>
      <c r="B88" s="11">
        <f t="shared" si="92"/>
        <v>319.52762595538832</v>
      </c>
      <c r="C88" s="11">
        <f t="shared" si="92"/>
        <v>317.82248686107948</v>
      </c>
      <c r="D88" s="11">
        <f t="shared" si="92"/>
        <v>296.29705541503404</v>
      </c>
      <c r="E88" s="11">
        <f t="shared" si="92"/>
        <v>306.89225466411546</v>
      </c>
      <c r="F88" s="11">
        <f t="shared" si="92"/>
        <v>299.85757506100578</v>
      </c>
      <c r="H88" s="39">
        <f t="shared" si="100"/>
        <v>-1.498286687196615</v>
      </c>
      <c r="I88" s="39">
        <f t="shared" si="93"/>
        <v>7.9665685931273877E-2</v>
      </c>
      <c r="L88" t="str">
        <f t="shared" si="94"/>
        <v>Elementary occupations</v>
      </c>
      <c r="M88" s="11">
        <f t="shared" si="94"/>
        <v>173.37775235507348</v>
      </c>
      <c r="N88" s="11">
        <f t="shared" si="94"/>
        <v>157.9990813440532</v>
      </c>
      <c r="O88" s="11">
        <f t="shared" si="94"/>
        <v>155.75262031627278</v>
      </c>
      <c r="P88" s="11">
        <f t="shared" si="94"/>
        <v>163.27922069506437</v>
      </c>
      <c r="Q88" s="11">
        <f t="shared" si="94"/>
        <v>156.58874379028262</v>
      </c>
      <c r="S88" s="39">
        <f t="shared" si="95"/>
        <v>-2.1212535452394654</v>
      </c>
      <c r="T88" s="39">
        <f t="shared" si="96"/>
        <v>3.5699176326042803E-2</v>
      </c>
      <c r="W88" t="str">
        <f t="shared" si="97"/>
        <v>Elementary occupations</v>
      </c>
      <c r="X88" s="11">
        <f t="shared" si="97"/>
        <v>146.14987360031449</v>
      </c>
      <c r="Y88" s="11">
        <f t="shared" si="97"/>
        <v>159.82340551702546</v>
      </c>
      <c r="Z88" s="11">
        <f t="shared" si="97"/>
        <v>140.54443509876131</v>
      </c>
      <c r="AA88" s="11">
        <f t="shared" si="97"/>
        <v>143.6130339690516</v>
      </c>
      <c r="AB88" s="11">
        <f t="shared" si="97"/>
        <v>143.26883127072372</v>
      </c>
      <c r="AD88" s="39">
        <f t="shared" si="98"/>
        <v>-0.77912742169343741</v>
      </c>
      <c r="AE88" s="39">
        <f t="shared" si="99"/>
        <v>0.12807595743427047</v>
      </c>
    </row>
    <row r="89" spans="1:31" x14ac:dyDescent="0.2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2">
      <c r="A90" s="23" t="str">
        <f t="shared" ref="A90:F90" si="101">A18</f>
        <v>All occupations</v>
      </c>
      <c r="B90" s="33">
        <f t="shared" si="101"/>
        <v>2817.8519999971131</v>
      </c>
      <c r="C90" s="33">
        <f t="shared" si="101"/>
        <v>2962.1069999996516</v>
      </c>
      <c r="D90" s="33">
        <f t="shared" si="101"/>
        <v>2929.5869999964643</v>
      </c>
      <c r="E90" s="33">
        <f t="shared" si="101"/>
        <v>3058.6549999943331</v>
      </c>
      <c r="F90" s="33">
        <f t="shared" si="101"/>
        <v>3240.0929999972918</v>
      </c>
      <c r="H90" s="42">
        <f>IF(D$6-B$6 &lt;&gt; 0,(EXP(LN(D18/B18)/(D$6-B$6))-1)*100,0)</f>
        <v>0.78076348315760935</v>
      </c>
      <c r="I90" s="42">
        <f>F56</f>
        <v>0.6738641534223655</v>
      </c>
      <c r="L90" s="23" t="str">
        <f t="shared" ref="L90:Q90" si="102">L18</f>
        <v>All occupations</v>
      </c>
      <c r="M90" s="33">
        <f t="shared" si="102"/>
        <v>1479.1279999993344</v>
      </c>
      <c r="N90" s="33">
        <f t="shared" si="102"/>
        <v>1519.4590000013991</v>
      </c>
      <c r="O90" s="33">
        <f t="shared" si="102"/>
        <v>1491.5389999983781</v>
      </c>
      <c r="P90" s="33">
        <f t="shared" si="102"/>
        <v>1547.6319999959112</v>
      </c>
      <c r="Q90" s="33">
        <f t="shared" si="102"/>
        <v>1623.9979999964846</v>
      </c>
      <c r="S90" s="42">
        <f>IF(O$6-M$6 &lt;&gt; 0,(EXP(LN(O18/M18)/(O$6-M$6))-1)*100,0)</f>
        <v>0.16725467199130151</v>
      </c>
      <c r="T90" s="42">
        <f>Q56</f>
        <v>0.56882863707150566</v>
      </c>
      <c r="W90" s="23" t="str">
        <f t="shared" ref="W90:AB90" si="103">W18</f>
        <v>All occupations</v>
      </c>
      <c r="X90" s="33">
        <f t="shared" si="103"/>
        <v>1338.7239999977796</v>
      </c>
      <c r="Y90" s="33">
        <f t="shared" si="103"/>
        <v>1442.6479999982535</v>
      </c>
      <c r="Z90" s="33">
        <f t="shared" si="103"/>
        <v>1438.0479999980862</v>
      </c>
      <c r="AA90" s="33">
        <f t="shared" si="103"/>
        <v>1511.0229999984228</v>
      </c>
      <c r="AB90" s="33">
        <f t="shared" si="103"/>
        <v>1616.0950000008088</v>
      </c>
      <c r="AD90" s="42">
        <f>IF(Z$6-X$6 &lt;&gt; 0,(EXP(LN(Z18/X18)/(Z$6-X$6))-1)*100,0)</f>
        <v>1.441687842603856</v>
      </c>
      <c r="AE90" s="42">
        <f>AB56</f>
        <v>0.78120969043034005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1" max="11" width="9.85546875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South West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West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West</v>
      </c>
    </row>
    <row r="2" spans="1:32" ht="12.75" customHeight="1" x14ac:dyDescent="0.2">
      <c r="A2" s="181" t="s">
        <v>537</v>
      </c>
      <c r="D2" s="339"/>
      <c r="G2" s="85"/>
      <c r="J2" s="85"/>
      <c r="M2" s="85"/>
      <c r="P2" s="85"/>
      <c r="S2" s="85"/>
      <c r="V2" s="85"/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2">
      <c r="A8" s="10" t="str">
        <f>name!D4</f>
        <v>11 Corporate managers and directors</v>
      </c>
      <c r="B8" s="11">
        <v>178.28774463132186</v>
      </c>
      <c r="C8" s="11">
        <v>213.59764295854791</v>
      </c>
      <c r="D8" s="11">
        <v>220.42416840586966</v>
      </c>
      <c r="E8" s="11">
        <v>206.88200941059679</v>
      </c>
      <c r="F8" s="11">
        <v>228.60191583847305</v>
      </c>
      <c r="G8" s="10"/>
      <c r="H8" s="11">
        <f>F8-D8</f>
        <v>8.1777474326033825</v>
      </c>
      <c r="I8" s="11">
        <f>'RD T1'!E7</f>
        <v>109.48805252457601</v>
      </c>
      <c r="J8" s="11">
        <f>SUM(H8:I8)</f>
        <v>117.66579995717939</v>
      </c>
      <c r="L8" s="10" t="str">
        <f>name!D4</f>
        <v>11 Corporate managers and directors</v>
      </c>
      <c r="M8" s="11">
        <v>127.88621824715689</v>
      </c>
      <c r="N8" s="11">
        <v>145.46899598068458</v>
      </c>
      <c r="O8" s="11">
        <v>147.27770381805956</v>
      </c>
      <c r="P8" s="11">
        <v>134.61219668333305</v>
      </c>
      <c r="Q8" s="11">
        <v>143.32246372020509</v>
      </c>
      <c r="R8" s="10"/>
      <c r="S8" s="11">
        <f>Q8-O8</f>
        <v>-3.9552400978544711</v>
      </c>
      <c r="T8" s="11">
        <f>'RD T1'!T7</f>
        <v>64.394404003614611</v>
      </c>
      <c r="U8" s="11">
        <f>SUM(S8:T8)</f>
        <v>60.43916390576014</v>
      </c>
      <c r="W8" s="10" t="str">
        <f>name!D4</f>
        <v>11 Corporate managers and directors</v>
      </c>
      <c r="X8" s="11">
        <v>50.401526384164946</v>
      </c>
      <c r="Y8" s="11">
        <v>68.128646977864221</v>
      </c>
      <c r="Z8" s="11">
        <v>73.146464587809945</v>
      </c>
      <c r="AA8" s="11">
        <v>72.269812727264082</v>
      </c>
      <c r="AB8" s="11">
        <v>85.279452118268068</v>
      </c>
      <c r="AC8" s="10"/>
      <c r="AD8" s="11">
        <f>AB8-Z8</f>
        <v>12.132987530458124</v>
      </c>
      <c r="AE8" s="11">
        <f>'RD T1'!T36</f>
        <v>45.093648520961374</v>
      </c>
      <c r="AF8" s="11">
        <f>SUM(AD8:AE8)</f>
        <v>57.226636051419497</v>
      </c>
    </row>
    <row r="9" spans="1:32" x14ac:dyDescent="0.2">
      <c r="A9" s="10" t="str">
        <f>name!D5</f>
        <v>12 Other managers and proprietors</v>
      </c>
      <c r="B9" s="11">
        <v>103.43021572953465</v>
      </c>
      <c r="C9" s="11">
        <v>114.51338190941415</v>
      </c>
      <c r="D9" s="11">
        <v>116.24748966700469</v>
      </c>
      <c r="E9" s="11">
        <v>144.11936184623406</v>
      </c>
      <c r="F9" s="11">
        <v>165.54721327345115</v>
      </c>
      <c r="H9" s="11">
        <f t="shared" ref="H9:H32" si="2">F9-D9</f>
        <v>49.299723606446463</v>
      </c>
      <c r="I9" s="11">
        <f>'RD T1'!E8</f>
        <v>84.080970324042909</v>
      </c>
      <c r="J9" s="11">
        <f>SUM(H9:I9)</f>
        <v>133.38069393048937</v>
      </c>
      <c r="L9" s="10" t="str">
        <f>name!D5</f>
        <v>12 Other managers and proprietors</v>
      </c>
      <c r="M9" s="11">
        <v>63.589724667695613</v>
      </c>
      <c r="N9" s="11">
        <v>70.102047022900109</v>
      </c>
      <c r="O9" s="11">
        <v>67.897013109996891</v>
      </c>
      <c r="P9" s="11">
        <v>86.936958773076029</v>
      </c>
      <c r="Q9" s="11">
        <v>101.83460655235328</v>
      </c>
      <c r="S9" s="11">
        <f t="shared" ref="S9:S32" si="3">Q9-O9</f>
        <v>33.937593442356388</v>
      </c>
      <c r="T9" s="11">
        <f>'RD T1'!T8</f>
        <v>46.106686831312722</v>
      </c>
      <c r="U9" s="11">
        <f>SUM(S9:T9)</f>
        <v>80.044280273669102</v>
      </c>
      <c r="W9" s="10" t="str">
        <f>name!D5</f>
        <v>12 Other managers and proprietors</v>
      </c>
      <c r="X9" s="11">
        <v>39.840491061839266</v>
      </c>
      <c r="Y9" s="11">
        <v>44.411334886513934</v>
      </c>
      <c r="Z9" s="11">
        <v>48.350476557007639</v>
      </c>
      <c r="AA9" s="11">
        <v>57.182403073158426</v>
      </c>
      <c r="AB9" s="11">
        <v>63.712606721098055</v>
      </c>
      <c r="AD9" s="11">
        <f t="shared" ref="AD9:AD32" si="4">AB9-Z9</f>
        <v>15.362130164090416</v>
      </c>
      <c r="AE9" s="11">
        <f>'RD T1'!T37</f>
        <v>37.974283492730194</v>
      </c>
      <c r="AF9" s="11">
        <f>SUM(AD9:AE9)</f>
        <v>53.336413656820611</v>
      </c>
    </row>
    <row r="10" spans="1:32" x14ac:dyDescent="0.2">
      <c r="A10" s="10" t="str">
        <f>name!D6</f>
        <v>21 Science, research, engineering and technology professionals</v>
      </c>
      <c r="B10" s="11">
        <v>147.35087953346306</v>
      </c>
      <c r="C10" s="11">
        <v>169.34812313639929</v>
      </c>
      <c r="D10" s="11">
        <v>174.78975240588667</v>
      </c>
      <c r="E10" s="11">
        <v>186.54260993602119</v>
      </c>
      <c r="F10" s="11">
        <v>209.54199786733972</v>
      </c>
      <c r="G10" s="11"/>
      <c r="H10" s="11">
        <f t="shared" si="2"/>
        <v>34.752245461453043</v>
      </c>
      <c r="I10" s="11">
        <f>'RD T1'!E9</f>
        <v>71.438987005482971</v>
      </c>
      <c r="J10" s="11">
        <f t="shared" ref="J10:J32" si="5">SUM(H10:I10)</f>
        <v>106.19123246693601</v>
      </c>
      <c r="L10" s="10" t="str">
        <f>name!D6</f>
        <v>21 Science, research, engineering and technology professionals</v>
      </c>
      <c r="M10" s="11">
        <v>120.72431159303343</v>
      </c>
      <c r="N10" s="11">
        <v>138.73506601321373</v>
      </c>
      <c r="O10" s="11">
        <v>137.60670702916633</v>
      </c>
      <c r="P10" s="11">
        <v>141.71141076714989</v>
      </c>
      <c r="Q10" s="11">
        <v>155.45643873539618</v>
      </c>
      <c r="R10" s="11"/>
      <c r="S10" s="11">
        <f t="shared" si="3"/>
        <v>17.849731706229846</v>
      </c>
      <c r="T10" s="11">
        <f>'RD T1'!T9</f>
        <v>47.462945543138837</v>
      </c>
      <c r="U10" s="11">
        <f t="shared" ref="U10:U32" si="6">SUM(S10:T10)</f>
        <v>65.312677249368676</v>
      </c>
      <c r="W10" s="10" t="str">
        <f>name!D6</f>
        <v>21 Science, research, engineering and technology professionals</v>
      </c>
      <c r="X10" s="11">
        <v>26.626567940430299</v>
      </c>
      <c r="Y10" s="11">
        <v>30.613057123186071</v>
      </c>
      <c r="Z10" s="11">
        <v>37.183045376720479</v>
      </c>
      <c r="AA10" s="11">
        <v>44.831199168871457</v>
      </c>
      <c r="AB10" s="11">
        <v>54.085559131943619</v>
      </c>
      <c r="AC10" s="11"/>
      <c r="AD10" s="11">
        <f t="shared" si="4"/>
        <v>16.90251375522314</v>
      </c>
      <c r="AE10" s="11">
        <f>'RD T1'!T38</f>
        <v>23.976041462344135</v>
      </c>
      <c r="AF10" s="11">
        <f t="shared" ref="AF10:AF32" si="7">SUM(AD10:AE10)</f>
        <v>40.878555217567275</v>
      </c>
    </row>
    <row r="11" spans="1:32" x14ac:dyDescent="0.2">
      <c r="A11" s="10" t="str">
        <f>name!D7</f>
        <v>22 Health professionals</v>
      </c>
      <c r="B11" s="11">
        <v>123.14430616433667</v>
      </c>
      <c r="C11" s="11">
        <v>137.3170036592112</v>
      </c>
      <c r="D11" s="11">
        <v>136.06688372711437</v>
      </c>
      <c r="E11" s="11">
        <v>152.01556031283346</v>
      </c>
      <c r="F11" s="11">
        <v>175.96215290882705</v>
      </c>
      <c r="G11" s="11"/>
      <c r="H11" s="11">
        <f t="shared" si="2"/>
        <v>39.895269181712678</v>
      </c>
      <c r="I11" s="11">
        <f>'RD T1'!E10</f>
        <v>83.671881352701789</v>
      </c>
      <c r="J11" s="11">
        <f t="shared" si="5"/>
        <v>123.56715053441447</v>
      </c>
      <c r="L11" s="10" t="str">
        <f>name!D7</f>
        <v>22 Health professionals</v>
      </c>
      <c r="M11" s="11">
        <v>32.990931031728977</v>
      </c>
      <c r="N11" s="11">
        <v>35.073654375146063</v>
      </c>
      <c r="O11" s="11">
        <v>38.971934377204661</v>
      </c>
      <c r="P11" s="11">
        <v>43.572142583285626</v>
      </c>
      <c r="Q11" s="11">
        <v>50.923369963451925</v>
      </c>
      <c r="R11" s="11"/>
      <c r="S11" s="11">
        <f t="shared" si="3"/>
        <v>11.951435586247264</v>
      </c>
      <c r="T11" s="11">
        <f>'RD T1'!T10</f>
        <v>17.494974686442294</v>
      </c>
      <c r="U11" s="11">
        <f t="shared" si="6"/>
        <v>29.446410272689558</v>
      </c>
      <c r="W11" s="10" t="str">
        <f>name!D7</f>
        <v>22 Health professionals</v>
      </c>
      <c r="X11" s="11">
        <v>90.153375132607835</v>
      </c>
      <c r="Y11" s="11">
        <v>102.24334928406539</v>
      </c>
      <c r="Z11" s="11">
        <v>97.094949349909626</v>
      </c>
      <c r="AA11" s="11">
        <v>108.4434177295478</v>
      </c>
      <c r="AB11" s="11">
        <v>125.03878294537533</v>
      </c>
      <c r="AC11" s="11"/>
      <c r="AD11" s="11">
        <f t="shared" si="4"/>
        <v>27.943833595465705</v>
      </c>
      <c r="AE11" s="11">
        <f>'RD T1'!T39</f>
        <v>66.176906666259498</v>
      </c>
      <c r="AF11" s="11">
        <f t="shared" si="7"/>
        <v>94.120740261725203</v>
      </c>
    </row>
    <row r="12" spans="1:32" x14ac:dyDescent="0.2">
      <c r="A12" s="10" t="str">
        <f>name!D8</f>
        <v>23 Teaching and other educational professionals</v>
      </c>
      <c r="B12" s="11">
        <v>131.96078482642613</v>
      </c>
      <c r="C12" s="11">
        <v>146.09030944326346</v>
      </c>
      <c r="D12" s="11">
        <v>147.16638535201332</v>
      </c>
      <c r="E12" s="11">
        <v>155.67652326982011</v>
      </c>
      <c r="F12" s="11">
        <v>172.55168775110647</v>
      </c>
      <c r="G12" s="11"/>
      <c r="H12" s="11">
        <f t="shared" si="2"/>
        <v>25.385302399093149</v>
      </c>
      <c r="I12" s="11">
        <f>'RD T1'!E11</f>
        <v>81.720722728835341</v>
      </c>
      <c r="J12" s="11">
        <f t="shared" si="5"/>
        <v>107.10602512792849</v>
      </c>
      <c r="L12" s="10" t="str">
        <f>name!D8</f>
        <v>23 Teaching and other educational professionals</v>
      </c>
      <c r="M12" s="11">
        <v>47.162536561260787</v>
      </c>
      <c r="N12" s="11">
        <v>49.703038977884255</v>
      </c>
      <c r="O12" s="11">
        <v>46.645682691708984</v>
      </c>
      <c r="P12" s="11">
        <v>51.086163348632482</v>
      </c>
      <c r="Q12" s="11">
        <v>56.15203935793744</v>
      </c>
      <c r="R12" s="11"/>
      <c r="S12" s="11">
        <f t="shared" si="3"/>
        <v>9.5063566662284558</v>
      </c>
      <c r="T12" s="11">
        <f>'RD T1'!T11</f>
        <v>22.101464184808066</v>
      </c>
      <c r="U12" s="11">
        <f t="shared" si="6"/>
        <v>31.607820851036522</v>
      </c>
      <c r="W12" s="10" t="str">
        <f>name!D8</f>
        <v>23 Teaching and other educational professionals</v>
      </c>
      <c r="X12" s="11">
        <v>84.798248265165412</v>
      </c>
      <c r="Y12" s="11">
        <v>96.387270465378847</v>
      </c>
      <c r="Z12" s="11">
        <v>100.52070266030438</v>
      </c>
      <c r="AA12" s="11">
        <v>104.59035992118744</v>
      </c>
      <c r="AB12" s="11">
        <v>116.39964839316906</v>
      </c>
      <c r="AC12" s="11"/>
      <c r="AD12" s="11">
        <f t="shared" si="4"/>
        <v>15.878945732864679</v>
      </c>
      <c r="AE12" s="11">
        <f>'RD T1'!T40</f>
        <v>59.619258544027254</v>
      </c>
      <c r="AF12" s="11">
        <f t="shared" si="7"/>
        <v>75.498204276891926</v>
      </c>
    </row>
    <row r="13" spans="1:32" x14ac:dyDescent="0.2">
      <c r="A13" s="10" t="str">
        <f>name!D9</f>
        <v>24 Business, media and public service professionals</v>
      </c>
      <c r="B13" s="11">
        <v>153.3672600969031</v>
      </c>
      <c r="C13" s="11">
        <v>179.91378446675418</v>
      </c>
      <c r="D13" s="11">
        <v>195.24119605405735</v>
      </c>
      <c r="E13" s="11">
        <v>221.40110061568069</v>
      </c>
      <c r="F13" s="11">
        <v>252.27951137953681</v>
      </c>
      <c r="G13" s="11"/>
      <c r="H13" s="11">
        <f t="shared" si="2"/>
        <v>57.038315325479459</v>
      </c>
      <c r="I13" s="11">
        <f>'RD T1'!E12</f>
        <v>108.30612767507399</v>
      </c>
      <c r="J13" s="11">
        <f t="shared" si="5"/>
        <v>165.34444300055344</v>
      </c>
      <c r="L13" s="10" t="str">
        <f>name!D9</f>
        <v>24 Business, media and public service professionals</v>
      </c>
      <c r="M13" s="11">
        <v>94.300527268926288</v>
      </c>
      <c r="N13" s="11">
        <v>104.65778883867104</v>
      </c>
      <c r="O13" s="11">
        <v>110.15590879838491</v>
      </c>
      <c r="P13" s="11">
        <v>125.35812386705021</v>
      </c>
      <c r="Q13" s="11">
        <v>139.45093516071509</v>
      </c>
      <c r="R13" s="11"/>
      <c r="S13" s="11">
        <f t="shared" si="3"/>
        <v>29.295026362330177</v>
      </c>
      <c r="T13" s="11">
        <f>'RD T1'!T12</f>
        <v>53.487698574453781</v>
      </c>
      <c r="U13" s="11">
        <f t="shared" si="6"/>
        <v>82.78272493678395</v>
      </c>
      <c r="W13" s="10" t="str">
        <f>name!D9</f>
        <v>24 Business, media and public service professionals</v>
      </c>
      <c r="X13" s="11">
        <v>59.066732827976594</v>
      </c>
      <c r="Y13" s="11">
        <v>75.255995628083056</v>
      </c>
      <c r="Z13" s="11">
        <v>85.085287255673222</v>
      </c>
      <c r="AA13" s="11">
        <v>96.042976748630565</v>
      </c>
      <c r="AB13" s="11">
        <v>112.82857621882259</v>
      </c>
      <c r="AC13" s="11"/>
      <c r="AD13" s="11">
        <f t="shared" si="4"/>
        <v>27.743288963149368</v>
      </c>
      <c r="AE13" s="11">
        <f>'RD T1'!T41</f>
        <v>54.818429100620236</v>
      </c>
      <c r="AF13" s="11">
        <f t="shared" si="7"/>
        <v>82.561718063769604</v>
      </c>
    </row>
    <row r="14" spans="1:32" x14ac:dyDescent="0.2">
      <c r="A14" s="10" t="str">
        <f>name!D10</f>
        <v>31 Science, engineering and technology associate professionals</v>
      </c>
      <c r="B14" s="11">
        <v>43.995185541434438</v>
      </c>
      <c r="C14" s="11">
        <v>52.324421892950539</v>
      </c>
      <c r="D14" s="11">
        <v>57.22704281714396</v>
      </c>
      <c r="E14" s="11">
        <v>50.887180174802381</v>
      </c>
      <c r="F14" s="11">
        <v>54.695032844743452</v>
      </c>
      <c r="G14" s="11"/>
      <c r="H14" s="11">
        <f t="shared" si="2"/>
        <v>-2.532009972400509</v>
      </c>
      <c r="I14" s="11">
        <f>'RD T1'!E13</f>
        <v>21.625845509805291</v>
      </c>
      <c r="J14" s="11">
        <f t="shared" si="5"/>
        <v>19.093835537404782</v>
      </c>
      <c r="L14" s="10" t="str">
        <f>name!D10</f>
        <v>31 Science, engineering and technology associate professionals</v>
      </c>
      <c r="M14" s="11">
        <v>32.292943422505523</v>
      </c>
      <c r="N14" s="11">
        <v>39.442327912945551</v>
      </c>
      <c r="O14" s="11">
        <v>41.135843935775256</v>
      </c>
      <c r="P14" s="11">
        <v>34.088660872905095</v>
      </c>
      <c r="Q14" s="11">
        <v>34.792218614813571</v>
      </c>
      <c r="R14" s="11"/>
      <c r="S14" s="11">
        <f t="shared" si="3"/>
        <v>-6.3436253209616851</v>
      </c>
      <c r="T14" s="11">
        <f>'RD T1'!T13</f>
        <v>12.705323333630945</v>
      </c>
      <c r="U14" s="11">
        <f t="shared" si="6"/>
        <v>6.3616980126692599</v>
      </c>
      <c r="W14" s="10" t="str">
        <f>name!D10</f>
        <v>31 Science, engineering and technology associate professionals</v>
      </c>
      <c r="X14" s="11">
        <v>11.702242118928973</v>
      </c>
      <c r="Y14" s="11">
        <v>12.882093980005026</v>
      </c>
      <c r="Z14" s="11">
        <v>16.091198881368872</v>
      </c>
      <c r="AA14" s="11">
        <v>16.798519301897279</v>
      </c>
      <c r="AB14" s="11">
        <v>19.902814229929881</v>
      </c>
      <c r="AC14" s="11"/>
      <c r="AD14" s="11">
        <f t="shared" si="4"/>
        <v>3.8116153485610091</v>
      </c>
      <c r="AE14" s="11">
        <f>'RD T1'!T42</f>
        <v>8.9205221761743534</v>
      </c>
      <c r="AF14" s="11">
        <f t="shared" si="7"/>
        <v>12.732137524735363</v>
      </c>
    </row>
    <row r="15" spans="1:32" x14ac:dyDescent="0.2">
      <c r="A15" s="10" t="str">
        <f>name!D11</f>
        <v>32 Health and social care associate professionals</v>
      </c>
      <c r="B15" s="11">
        <v>54.70334863148971</v>
      </c>
      <c r="C15" s="11">
        <v>58.442565330285852</v>
      </c>
      <c r="D15" s="11">
        <v>58.891200721634888</v>
      </c>
      <c r="E15" s="11">
        <v>61.545763256510249</v>
      </c>
      <c r="F15" s="11">
        <v>70.358001501575828</v>
      </c>
      <c r="G15" s="11"/>
      <c r="H15" s="11">
        <f t="shared" si="2"/>
        <v>11.466800779940939</v>
      </c>
      <c r="I15" s="11">
        <f>'RD T1'!E14</f>
        <v>36.552650658770716</v>
      </c>
      <c r="J15" s="11">
        <f t="shared" si="5"/>
        <v>48.019451438711656</v>
      </c>
      <c r="L15" s="10" t="str">
        <f>name!D11</f>
        <v>32 Health and social care associate professionals</v>
      </c>
      <c r="M15" s="11">
        <v>12.834472737615386</v>
      </c>
      <c r="N15" s="11">
        <v>11.955856713735765</v>
      </c>
      <c r="O15" s="11">
        <v>13.399853468043014</v>
      </c>
      <c r="P15" s="11">
        <v>12.91108459188502</v>
      </c>
      <c r="Q15" s="11">
        <v>14.449847405721906</v>
      </c>
      <c r="R15" s="11"/>
      <c r="S15" s="11">
        <f t="shared" si="3"/>
        <v>1.0499939376788916</v>
      </c>
      <c r="T15" s="11">
        <f>'RD T1'!T14</f>
        <v>6.5186956884013698</v>
      </c>
      <c r="U15" s="11">
        <f t="shared" si="6"/>
        <v>7.5686896260802614</v>
      </c>
      <c r="W15" s="10" t="str">
        <f>name!D11</f>
        <v>32 Health and social care associate professionals</v>
      </c>
      <c r="X15" s="11">
        <v>41.868875893874304</v>
      </c>
      <c r="Y15" s="11">
        <v>46.486708616550054</v>
      </c>
      <c r="Z15" s="11">
        <v>45.491347253591869</v>
      </c>
      <c r="AA15" s="11">
        <v>48.634678664625248</v>
      </c>
      <c r="AB15" s="11">
        <v>55.908154095853853</v>
      </c>
      <c r="AC15" s="11"/>
      <c r="AD15" s="11">
        <f t="shared" si="4"/>
        <v>10.416806842261984</v>
      </c>
      <c r="AE15" s="11">
        <f>'RD T1'!T43</f>
        <v>30.03395497036934</v>
      </c>
      <c r="AF15" s="11">
        <f t="shared" si="7"/>
        <v>40.450761812631328</v>
      </c>
    </row>
    <row r="16" spans="1:32" x14ac:dyDescent="0.2">
      <c r="A16" s="10" t="str">
        <f>name!D12</f>
        <v>33 Protective service occupations</v>
      </c>
      <c r="B16" s="11">
        <v>18.918456756356868</v>
      </c>
      <c r="C16" s="11">
        <v>19.65663641320371</v>
      </c>
      <c r="D16" s="11">
        <v>21.197229754485431</v>
      </c>
      <c r="E16" s="11">
        <v>25.968342007031605</v>
      </c>
      <c r="F16" s="11">
        <v>29.961326346665203</v>
      </c>
      <c r="G16" s="11"/>
      <c r="H16" s="11">
        <f t="shared" si="2"/>
        <v>8.7640965921797722</v>
      </c>
      <c r="I16" s="11">
        <f>'RD T1'!E15</f>
        <v>9.0351713500088326</v>
      </c>
      <c r="J16" s="11">
        <f t="shared" si="5"/>
        <v>17.799267942188607</v>
      </c>
      <c r="L16" s="10" t="str">
        <f>name!D12</f>
        <v>33 Protective service occupations</v>
      </c>
      <c r="M16" s="11">
        <v>14.553021218716779</v>
      </c>
      <c r="N16" s="11">
        <v>14.597136108546858</v>
      </c>
      <c r="O16" s="11">
        <v>15.559644764294029</v>
      </c>
      <c r="P16" s="11">
        <v>18.314683029131626</v>
      </c>
      <c r="Q16" s="11">
        <v>20.133102914513874</v>
      </c>
      <c r="R16" s="11"/>
      <c r="S16" s="11">
        <f t="shared" si="3"/>
        <v>4.5734581502198441</v>
      </c>
      <c r="T16" s="11">
        <f>'RD T1'!T15</f>
        <v>5.1882350730808584</v>
      </c>
      <c r="U16" s="11">
        <f t="shared" si="6"/>
        <v>9.7616932233007034</v>
      </c>
      <c r="W16" s="10" t="str">
        <f>name!D12</f>
        <v>33 Protective service occupations</v>
      </c>
      <c r="X16" s="11">
        <v>4.3654355376400931</v>
      </c>
      <c r="Y16" s="11">
        <v>5.0595003046568756</v>
      </c>
      <c r="Z16" s="11">
        <v>5.6375849901913844</v>
      </c>
      <c r="AA16" s="11">
        <v>7.6536589779000046</v>
      </c>
      <c r="AB16" s="11">
        <v>9.8282234321513737</v>
      </c>
      <c r="AC16" s="11"/>
      <c r="AD16" s="11">
        <f t="shared" si="4"/>
        <v>4.1906384419599894</v>
      </c>
      <c r="AE16" s="11">
        <f>'RD T1'!T44</f>
        <v>3.8469362769279729</v>
      </c>
      <c r="AF16" s="11">
        <f t="shared" si="7"/>
        <v>8.0375747188879618</v>
      </c>
    </row>
    <row r="17" spans="1:32" x14ac:dyDescent="0.2">
      <c r="A17" s="10" t="str">
        <f>name!D13</f>
        <v>34 Culture, media and sports occupations</v>
      </c>
      <c r="B17" s="11">
        <v>57.633479740380658</v>
      </c>
      <c r="C17" s="11">
        <v>62.64236339604215</v>
      </c>
      <c r="D17" s="11">
        <v>62.187444415764752</v>
      </c>
      <c r="E17" s="11">
        <v>65.396091153214783</v>
      </c>
      <c r="F17" s="11">
        <v>75.861044003421796</v>
      </c>
      <c r="G17" s="11"/>
      <c r="H17" s="11">
        <f t="shared" si="2"/>
        <v>13.673599587657044</v>
      </c>
      <c r="I17" s="11">
        <f>'RD T1'!E16</f>
        <v>32.881110148143499</v>
      </c>
      <c r="J17" s="11">
        <f t="shared" si="5"/>
        <v>46.554709735800543</v>
      </c>
      <c r="L17" s="10" t="str">
        <f>name!D13</f>
        <v>34 Culture, media and sports occupations</v>
      </c>
      <c r="M17" s="11">
        <v>28.514829118001455</v>
      </c>
      <c r="N17" s="11">
        <v>29.173332322561777</v>
      </c>
      <c r="O17" s="11">
        <v>26.582640202544823</v>
      </c>
      <c r="P17" s="11">
        <v>27.92740952078524</v>
      </c>
      <c r="Q17" s="11">
        <v>32.365737137121499</v>
      </c>
      <c r="R17" s="11"/>
      <c r="S17" s="11">
        <f t="shared" si="3"/>
        <v>5.7830969345766761</v>
      </c>
      <c r="T17" s="11">
        <f>'RD T1'!T16</f>
        <v>11.822705039282148</v>
      </c>
      <c r="U17" s="11">
        <f t="shared" si="6"/>
        <v>17.605801973858824</v>
      </c>
      <c r="W17" s="10" t="str">
        <f>name!D13</f>
        <v>34 Culture, media and sports occupations</v>
      </c>
      <c r="X17" s="11">
        <v>29.118650622379214</v>
      </c>
      <c r="Y17" s="11">
        <v>33.469031073480338</v>
      </c>
      <c r="Z17" s="11">
        <v>35.604804213220092</v>
      </c>
      <c r="AA17" s="11">
        <v>37.468681632429387</v>
      </c>
      <c r="AB17" s="11">
        <v>43.495306866300233</v>
      </c>
      <c r="AC17" s="11"/>
      <c r="AD17" s="11">
        <f t="shared" si="4"/>
        <v>7.8905026530801408</v>
      </c>
      <c r="AE17" s="11">
        <f>'RD T1'!T45</f>
        <v>21.058405108861344</v>
      </c>
      <c r="AF17" s="11">
        <f t="shared" si="7"/>
        <v>28.948907761941484</v>
      </c>
    </row>
    <row r="18" spans="1:32" x14ac:dyDescent="0.2">
      <c r="A18" s="10" t="str">
        <f>name!D14</f>
        <v>35 Business and public service associate professionals</v>
      </c>
      <c r="B18" s="11">
        <v>156.95041475761286</v>
      </c>
      <c r="C18" s="11">
        <v>168.68090546711812</v>
      </c>
      <c r="D18" s="11">
        <v>176.2464226534758</v>
      </c>
      <c r="E18" s="11">
        <v>172.1322735103268</v>
      </c>
      <c r="F18" s="11">
        <v>180.73388845504215</v>
      </c>
      <c r="G18" s="11"/>
      <c r="H18" s="11">
        <f t="shared" si="2"/>
        <v>4.4874658015663442</v>
      </c>
      <c r="I18" s="11">
        <f>'RD T1'!E17</f>
        <v>80.459541667965922</v>
      </c>
      <c r="J18" s="11">
        <f t="shared" si="5"/>
        <v>84.947007469532267</v>
      </c>
      <c r="L18" s="10" t="str">
        <f>name!D14</f>
        <v>35 Business and public service associate professionals</v>
      </c>
      <c r="M18" s="11">
        <v>87.041483688037502</v>
      </c>
      <c r="N18" s="11">
        <v>90.296748531675519</v>
      </c>
      <c r="O18" s="11">
        <v>93.471933376030194</v>
      </c>
      <c r="P18" s="11">
        <v>87.644534151931481</v>
      </c>
      <c r="Q18" s="11">
        <v>87.7969855098425</v>
      </c>
      <c r="R18" s="11"/>
      <c r="S18" s="11">
        <f t="shared" si="3"/>
        <v>-5.6749478661876935</v>
      </c>
      <c r="T18" s="11">
        <f>'RD T1'!T17</f>
        <v>33.664255011856589</v>
      </c>
      <c r="U18" s="11">
        <f t="shared" si="6"/>
        <v>27.989307145668896</v>
      </c>
      <c r="W18" s="10" t="str">
        <f>name!D14</f>
        <v>35 Business and public service associate professionals</v>
      </c>
      <c r="X18" s="11">
        <v>69.908931069575459</v>
      </c>
      <c r="Y18" s="11">
        <v>78.384156935442434</v>
      </c>
      <c r="Z18" s="11">
        <v>82.774489277445284</v>
      </c>
      <c r="AA18" s="11">
        <v>84.487739358395444</v>
      </c>
      <c r="AB18" s="11">
        <v>92.936902945199435</v>
      </c>
      <c r="AC18" s="11"/>
      <c r="AD18" s="11">
        <f t="shared" si="4"/>
        <v>10.162413667754151</v>
      </c>
      <c r="AE18" s="11">
        <f>'RD T1'!T46</f>
        <v>46.79528665610934</v>
      </c>
      <c r="AF18" s="11">
        <f t="shared" si="7"/>
        <v>56.957700323863492</v>
      </c>
    </row>
    <row r="19" spans="1:32" x14ac:dyDescent="0.2">
      <c r="A19" s="10" t="str">
        <f>name!D15</f>
        <v>41 Administrative occupations</v>
      </c>
      <c r="B19" s="11">
        <v>230.65190493606553</v>
      </c>
      <c r="C19" s="11">
        <v>227.98629979690097</v>
      </c>
      <c r="D19" s="11">
        <v>240.29715716047514</v>
      </c>
      <c r="E19" s="11">
        <v>222.21315201120595</v>
      </c>
      <c r="F19" s="11">
        <v>210.08774549657949</v>
      </c>
      <c r="G19" s="11"/>
      <c r="H19" s="11">
        <f t="shared" si="2"/>
        <v>-30.209411663895651</v>
      </c>
      <c r="I19" s="11">
        <f>'RD T1'!E18</f>
        <v>111.1969527763539</v>
      </c>
      <c r="J19" s="11">
        <f t="shared" si="5"/>
        <v>80.987541112458246</v>
      </c>
      <c r="L19" s="10" t="str">
        <f>name!D15</f>
        <v>41 Administrative occupations</v>
      </c>
      <c r="M19" s="11">
        <v>61.14576183096257</v>
      </c>
      <c r="N19" s="11">
        <v>55.861529642878637</v>
      </c>
      <c r="O19" s="11">
        <v>66.905200852534307</v>
      </c>
      <c r="P19" s="11">
        <v>63.085371500294215</v>
      </c>
      <c r="Q19" s="11">
        <v>66.447834846858285</v>
      </c>
      <c r="R19" s="11"/>
      <c r="S19" s="11">
        <f t="shared" si="3"/>
        <v>-0.45736600567602181</v>
      </c>
      <c r="T19" s="11">
        <f>'RD T1'!T18</f>
        <v>23.895518464039267</v>
      </c>
      <c r="U19" s="11">
        <f t="shared" si="6"/>
        <v>23.438152458363245</v>
      </c>
      <c r="W19" s="10" t="str">
        <f>name!D15</f>
        <v>41 Administrative occupations</v>
      </c>
      <c r="X19" s="11">
        <v>169.50614310510326</v>
      </c>
      <c r="Y19" s="11">
        <v>172.12477015402229</v>
      </c>
      <c r="Z19" s="11">
        <v>173.39195630794055</v>
      </c>
      <c r="AA19" s="11">
        <v>159.1277805109118</v>
      </c>
      <c r="AB19" s="11">
        <v>143.63991064972134</v>
      </c>
      <c r="AC19" s="11"/>
      <c r="AD19" s="11">
        <f t="shared" si="4"/>
        <v>-29.752045658219203</v>
      </c>
      <c r="AE19" s="11">
        <f>'RD T1'!T47</f>
        <v>87.301434312314626</v>
      </c>
      <c r="AF19" s="11">
        <f t="shared" si="7"/>
        <v>57.549388654095424</v>
      </c>
    </row>
    <row r="20" spans="1:32" x14ac:dyDescent="0.2">
      <c r="A20" s="10" t="str">
        <f>name!D16</f>
        <v>42 Secretarial and related occupations</v>
      </c>
      <c r="B20" s="11">
        <v>59.576249167735241</v>
      </c>
      <c r="C20" s="11">
        <v>55.290868543472513</v>
      </c>
      <c r="D20" s="11">
        <v>54.043742760928943</v>
      </c>
      <c r="E20" s="11">
        <v>57.326820709618758</v>
      </c>
      <c r="F20" s="11">
        <v>51.542087035107386</v>
      </c>
      <c r="G20" s="11"/>
      <c r="H20" s="11">
        <f t="shared" si="2"/>
        <v>-2.501655725821557</v>
      </c>
      <c r="I20" s="11">
        <f>'RD T1'!E19</f>
        <v>28.643690141640779</v>
      </c>
      <c r="J20" s="11">
        <f t="shared" si="5"/>
        <v>26.142034415819221</v>
      </c>
      <c r="L20" s="10" t="str">
        <f>name!D16</f>
        <v>42 Secretarial and related occupations</v>
      </c>
      <c r="M20" s="11">
        <v>6.2705006316772991</v>
      </c>
      <c r="N20" s="11">
        <v>4.7369225531100332</v>
      </c>
      <c r="O20" s="11">
        <v>4.4042167043455178</v>
      </c>
      <c r="P20" s="11">
        <v>6.2788973138204662</v>
      </c>
      <c r="Q20" s="11">
        <v>7.8393588362517894</v>
      </c>
      <c r="R20" s="11"/>
      <c r="S20" s="11">
        <f t="shared" si="3"/>
        <v>3.4351421319062716</v>
      </c>
      <c r="T20" s="11">
        <f>'RD T1'!T19</f>
        <v>2.2013521058206313</v>
      </c>
      <c r="U20" s="11">
        <f t="shared" si="6"/>
        <v>5.6364942377269029</v>
      </c>
      <c r="W20" s="10" t="str">
        <f>name!D16</f>
        <v>42 Secretarial and related occupations</v>
      </c>
      <c r="X20" s="11">
        <v>53.305748536057941</v>
      </c>
      <c r="Y20" s="11">
        <v>50.553945990362486</v>
      </c>
      <c r="Z20" s="11">
        <v>49.639526056583435</v>
      </c>
      <c r="AA20" s="11">
        <v>51.0479233957983</v>
      </c>
      <c r="AB20" s="11">
        <v>43.702728198855574</v>
      </c>
      <c r="AC20" s="11"/>
      <c r="AD20" s="11">
        <f t="shared" si="4"/>
        <v>-5.9367978577278606</v>
      </c>
      <c r="AE20" s="11">
        <f>'RD T1'!T48</f>
        <v>26.442338035820143</v>
      </c>
      <c r="AF20" s="11">
        <f t="shared" si="7"/>
        <v>20.505540178092282</v>
      </c>
    </row>
    <row r="21" spans="1:32" x14ac:dyDescent="0.2">
      <c r="A21" s="10" t="str">
        <f>name!D17</f>
        <v>51 Skilled agricultural and related trades</v>
      </c>
      <c r="B21" s="11">
        <v>41.074614853304986</v>
      </c>
      <c r="C21" s="11">
        <v>39.9365454081248</v>
      </c>
      <c r="D21" s="11">
        <v>43.38976416600206</v>
      </c>
      <c r="E21" s="11">
        <v>43.637142204273772</v>
      </c>
      <c r="F21" s="11">
        <v>47.518729761157019</v>
      </c>
      <c r="G21" s="11"/>
      <c r="H21" s="11">
        <f t="shared" si="2"/>
        <v>4.1289655951549591</v>
      </c>
      <c r="I21" s="11">
        <f>'RD T1'!E20</f>
        <v>23.957291134711738</v>
      </c>
      <c r="J21" s="11">
        <f t="shared" si="5"/>
        <v>28.086256729866697</v>
      </c>
      <c r="L21" s="10" t="str">
        <f>name!D17</f>
        <v>51 Skilled agricultural and related trades</v>
      </c>
      <c r="M21" s="11">
        <v>36.977628000777599</v>
      </c>
      <c r="N21" s="11">
        <v>35.057437323113533</v>
      </c>
      <c r="O21" s="11">
        <v>37.864920023095074</v>
      </c>
      <c r="P21" s="11">
        <v>37.802827708965218</v>
      </c>
      <c r="Q21" s="11">
        <v>40.041180711108417</v>
      </c>
      <c r="R21" s="11"/>
      <c r="S21" s="11">
        <f t="shared" si="3"/>
        <v>2.1762606880133433</v>
      </c>
      <c r="T21" s="11">
        <f>'RD T1'!T20</f>
        <v>19.473976063704352</v>
      </c>
      <c r="U21" s="11">
        <f t="shared" si="6"/>
        <v>21.650236751717696</v>
      </c>
      <c r="W21" s="10" t="str">
        <f>name!D17</f>
        <v>51 Skilled agricultural and related trades</v>
      </c>
      <c r="X21" s="11">
        <v>4.0969868525272553</v>
      </c>
      <c r="Y21" s="11">
        <v>4.8791080850112456</v>
      </c>
      <c r="Z21" s="11">
        <v>5.5248441429069528</v>
      </c>
      <c r="AA21" s="11">
        <v>5.8343144953084911</v>
      </c>
      <c r="AB21" s="11">
        <v>7.4775490500484612</v>
      </c>
      <c r="AC21" s="11"/>
      <c r="AD21" s="11">
        <f t="shared" si="4"/>
        <v>1.9527049071415084</v>
      </c>
      <c r="AE21" s="11">
        <f>'RD T1'!T49</f>
        <v>4.4833150710073957</v>
      </c>
      <c r="AF21" s="11">
        <f t="shared" si="7"/>
        <v>6.436019978148904</v>
      </c>
    </row>
    <row r="22" spans="1:32" x14ac:dyDescent="0.2">
      <c r="A22" s="10" t="str">
        <f>name!D18</f>
        <v>52 Skilled metal, electrical and electronic trades</v>
      </c>
      <c r="B22" s="11">
        <v>119.78442551978591</v>
      </c>
      <c r="C22" s="11">
        <v>117.51869225195854</v>
      </c>
      <c r="D22" s="11">
        <v>105.38577813988417</v>
      </c>
      <c r="E22" s="11">
        <v>104.59063274076206</v>
      </c>
      <c r="F22" s="11">
        <v>101.33738383927199</v>
      </c>
      <c r="G22" s="11"/>
      <c r="H22" s="11">
        <f t="shared" si="2"/>
        <v>-4.0483943006121734</v>
      </c>
      <c r="I22" s="11">
        <f>'RD T1'!E21</f>
        <v>39.927061313496218</v>
      </c>
      <c r="J22" s="11">
        <f t="shared" si="5"/>
        <v>35.878667012884044</v>
      </c>
      <c r="L22" s="10" t="str">
        <f>name!D18</f>
        <v>52 Skilled metal, electrical and electronic trades</v>
      </c>
      <c r="M22" s="11">
        <v>117.64816989119569</v>
      </c>
      <c r="N22" s="11">
        <v>113.85162782797698</v>
      </c>
      <c r="O22" s="11">
        <v>102.48517582773572</v>
      </c>
      <c r="P22" s="11">
        <v>98.117013661347343</v>
      </c>
      <c r="Q22" s="11">
        <v>92.197140140067447</v>
      </c>
      <c r="R22" s="11"/>
      <c r="S22" s="11">
        <f t="shared" si="3"/>
        <v>-10.28803568766827</v>
      </c>
      <c r="T22" s="11">
        <f>'RD T1'!T21</f>
        <v>35.889346668939787</v>
      </c>
      <c r="U22" s="11">
        <f t="shared" si="6"/>
        <v>25.601310981271517</v>
      </c>
      <c r="W22" s="10" t="str">
        <f>name!D18</f>
        <v>52 Skilled metal, electrical and electronic trades</v>
      </c>
      <c r="X22" s="11">
        <v>2.1362556285902117</v>
      </c>
      <c r="Y22" s="11">
        <v>3.6670644239815182</v>
      </c>
      <c r="Z22" s="11">
        <v>2.9006023121482807</v>
      </c>
      <c r="AA22" s="11">
        <v>6.4736190794147754</v>
      </c>
      <c r="AB22" s="11">
        <v>9.1402436992043619</v>
      </c>
      <c r="AC22" s="11"/>
      <c r="AD22" s="11">
        <f t="shared" si="4"/>
        <v>6.2396413870560812</v>
      </c>
      <c r="AE22" s="11">
        <f>'RD T1'!T50</f>
        <v>4.0377146445564298</v>
      </c>
      <c r="AF22" s="11">
        <f t="shared" si="7"/>
        <v>10.277356031612511</v>
      </c>
    </row>
    <row r="23" spans="1:32" x14ac:dyDescent="0.2">
      <c r="A23" s="10" t="str">
        <f>name!D19</f>
        <v>53 Skilled construction and building trades</v>
      </c>
      <c r="B23" s="11">
        <v>111.7064966465005</v>
      </c>
      <c r="C23" s="11">
        <v>115.93625145857176</v>
      </c>
      <c r="D23" s="11">
        <v>93.794072482198729</v>
      </c>
      <c r="E23" s="11">
        <v>102.69428827818803</v>
      </c>
      <c r="F23" s="11">
        <v>103.36815417917676</v>
      </c>
      <c r="G23" s="11"/>
      <c r="H23" s="11">
        <f t="shared" si="2"/>
        <v>9.5740816969780269</v>
      </c>
      <c r="I23" s="11">
        <f>'RD T1'!E22</f>
        <v>43.403879389862347</v>
      </c>
      <c r="J23" s="11">
        <f t="shared" si="5"/>
        <v>52.977961086840374</v>
      </c>
      <c r="L23" s="10" t="str">
        <f>name!D19</f>
        <v>53 Skilled construction and building trades</v>
      </c>
      <c r="M23" s="11">
        <v>110.20593548867936</v>
      </c>
      <c r="N23" s="11">
        <v>114.03961437615249</v>
      </c>
      <c r="O23" s="11">
        <v>91.528853254471713</v>
      </c>
      <c r="P23" s="11">
        <v>100.12659858696004</v>
      </c>
      <c r="Q23" s="11">
        <v>100.26053977692051</v>
      </c>
      <c r="R23" s="11"/>
      <c r="S23" s="11">
        <f t="shared" si="3"/>
        <v>8.7316865224487969</v>
      </c>
      <c r="T23" s="11">
        <f>'RD T1'!T22</f>
        <v>41.943777305492034</v>
      </c>
      <c r="U23" s="11">
        <f t="shared" si="6"/>
        <v>50.675463827940831</v>
      </c>
      <c r="W23" s="10" t="str">
        <f>name!D19</f>
        <v>53 Skilled construction and building trades</v>
      </c>
      <c r="X23" s="11">
        <v>1.5005611578211298</v>
      </c>
      <c r="Y23" s="11">
        <v>1.8966370824192864</v>
      </c>
      <c r="Z23" s="11">
        <v>2.2652192277268988</v>
      </c>
      <c r="AA23" s="11">
        <v>2.5676896912280629</v>
      </c>
      <c r="AB23" s="11">
        <v>3.1076144022561487</v>
      </c>
      <c r="AC23" s="11"/>
      <c r="AD23" s="11">
        <f t="shared" si="4"/>
        <v>0.84239517452924995</v>
      </c>
      <c r="AE23" s="11">
        <f>'RD T1'!T51</f>
        <v>1.4601020843703236</v>
      </c>
      <c r="AF23" s="11">
        <f t="shared" si="7"/>
        <v>2.3024972588995736</v>
      </c>
    </row>
    <row r="24" spans="1:32" x14ac:dyDescent="0.2">
      <c r="A24" s="10" t="str">
        <f>name!D20</f>
        <v>54 Textiles, printing and other skilled trades</v>
      </c>
      <c r="B24" s="11">
        <v>59.378092512611914</v>
      </c>
      <c r="C24" s="11">
        <v>56.992633434301148</v>
      </c>
      <c r="D24" s="11">
        <v>55.443570145470069</v>
      </c>
      <c r="E24" s="11">
        <v>56.258672802843392</v>
      </c>
      <c r="F24" s="11">
        <v>54.266577337981488</v>
      </c>
      <c r="G24" s="11"/>
      <c r="H24" s="11">
        <f t="shared" si="2"/>
        <v>-1.1769928074885811</v>
      </c>
      <c r="I24" s="11">
        <f>'RD T1'!E23</f>
        <v>24.638153772286355</v>
      </c>
      <c r="J24" s="11">
        <f t="shared" si="5"/>
        <v>23.461160964797774</v>
      </c>
      <c r="L24" s="10" t="str">
        <f>name!D20</f>
        <v>54 Textiles, printing and other skilled trades</v>
      </c>
      <c r="M24" s="11">
        <v>35.517535424723107</v>
      </c>
      <c r="N24" s="11">
        <v>33.436898810544363</v>
      </c>
      <c r="O24" s="11">
        <v>30.004086961532259</v>
      </c>
      <c r="P24" s="11">
        <v>29.759755172426509</v>
      </c>
      <c r="Q24" s="11">
        <v>28.141886668929022</v>
      </c>
      <c r="R24" s="11"/>
      <c r="S24" s="11">
        <f t="shared" si="3"/>
        <v>-1.8622002926032373</v>
      </c>
      <c r="T24" s="11">
        <f>'RD T1'!T23</f>
        <v>9.2166016144084359</v>
      </c>
      <c r="U24" s="11">
        <f t="shared" si="6"/>
        <v>7.3544013218051987</v>
      </c>
      <c r="W24" s="10" t="str">
        <f>name!D20</f>
        <v>54 Textiles, printing and other skilled trades</v>
      </c>
      <c r="X24" s="11">
        <v>23.860557087888857</v>
      </c>
      <c r="Y24" s="11">
        <v>23.555734623756678</v>
      </c>
      <c r="Z24" s="11">
        <v>25.439483183937963</v>
      </c>
      <c r="AA24" s="11">
        <v>26.498917630416891</v>
      </c>
      <c r="AB24" s="11">
        <v>26.124690669052541</v>
      </c>
      <c r="AC24" s="11"/>
      <c r="AD24" s="11">
        <f t="shared" si="4"/>
        <v>0.68520748511457796</v>
      </c>
      <c r="AE24" s="11">
        <f>'RD T1'!T52</f>
        <v>15.421552157877921</v>
      </c>
      <c r="AF24" s="11">
        <f t="shared" si="7"/>
        <v>16.1067596429925</v>
      </c>
    </row>
    <row r="25" spans="1:32" x14ac:dyDescent="0.2">
      <c r="A25" s="10" t="str">
        <f>name!D21</f>
        <v>61 Caring personal service occupations</v>
      </c>
      <c r="B25" s="11">
        <v>226.34981501818203</v>
      </c>
      <c r="C25" s="11">
        <v>223.82371960747344</v>
      </c>
      <c r="D25" s="11">
        <v>213.74995100728043</v>
      </c>
      <c r="E25" s="11">
        <v>235.35687974236151</v>
      </c>
      <c r="F25" s="11">
        <v>261.37055548425388</v>
      </c>
      <c r="G25" s="11"/>
      <c r="H25" s="11">
        <f t="shared" si="2"/>
        <v>47.620604476973455</v>
      </c>
      <c r="I25" s="11">
        <f>'RD T1'!E24</f>
        <v>135.92529952579289</v>
      </c>
      <c r="J25" s="11">
        <f t="shared" si="5"/>
        <v>183.54590400276635</v>
      </c>
      <c r="L25" s="10" t="str">
        <f>name!D21</f>
        <v>61 Caring personal service occupations</v>
      </c>
      <c r="M25" s="11">
        <v>23.089651675540306</v>
      </c>
      <c r="N25" s="11">
        <v>21.754706649602223</v>
      </c>
      <c r="O25" s="11">
        <v>21.691970638647025</v>
      </c>
      <c r="P25" s="11">
        <v>27.288270802242007</v>
      </c>
      <c r="Q25" s="11">
        <v>33.027594035640121</v>
      </c>
      <c r="R25" s="11"/>
      <c r="S25" s="11">
        <f t="shared" si="3"/>
        <v>11.335623396993096</v>
      </c>
      <c r="T25" s="11">
        <f>'RD T1'!T24</f>
        <v>12.648704064021851</v>
      </c>
      <c r="U25" s="11">
        <f t="shared" si="6"/>
        <v>23.984327461014949</v>
      </c>
      <c r="W25" s="10" t="str">
        <f>name!D21</f>
        <v>61 Caring personal service occupations</v>
      </c>
      <c r="X25" s="11">
        <v>203.26016334264176</v>
      </c>
      <c r="Y25" s="11">
        <v>202.06901295787125</v>
      </c>
      <c r="Z25" s="11">
        <v>192.05798036863345</v>
      </c>
      <c r="AA25" s="11">
        <v>208.06860894011953</v>
      </c>
      <c r="AB25" s="11">
        <v>228.34296144861375</v>
      </c>
      <c r="AC25" s="11"/>
      <c r="AD25" s="11">
        <f t="shared" si="4"/>
        <v>36.284981079980298</v>
      </c>
      <c r="AE25" s="11">
        <f>'RD T1'!T53</f>
        <v>123.27659546177104</v>
      </c>
      <c r="AF25" s="11">
        <f t="shared" si="7"/>
        <v>159.56157654175132</v>
      </c>
    </row>
    <row r="26" spans="1:32" x14ac:dyDescent="0.2">
      <c r="A26" s="10" t="str">
        <f>name!D22</f>
        <v>62 Leisure, travel and related personal service occupations</v>
      </c>
      <c r="B26" s="11">
        <v>61.407742014586113</v>
      </c>
      <c r="C26" s="11">
        <v>68.70716383370474</v>
      </c>
      <c r="D26" s="11">
        <v>60.737895765777509</v>
      </c>
      <c r="E26" s="11">
        <v>66.143086174876487</v>
      </c>
      <c r="F26" s="11">
        <v>72.595305939625703</v>
      </c>
      <c r="G26" s="11"/>
      <c r="H26" s="11">
        <f t="shared" si="2"/>
        <v>11.857410173848194</v>
      </c>
      <c r="I26" s="11">
        <f>'RD T1'!E25</f>
        <v>34.756254496441578</v>
      </c>
      <c r="J26" s="11">
        <f t="shared" si="5"/>
        <v>46.613664670289772</v>
      </c>
      <c r="L26" s="10" t="str">
        <f>name!D22</f>
        <v>62 Leisure, travel and related personal service occupations</v>
      </c>
      <c r="M26" s="11">
        <v>16.378106119000517</v>
      </c>
      <c r="N26" s="11">
        <v>19.158468072199803</v>
      </c>
      <c r="O26" s="11">
        <v>18.876929962834836</v>
      </c>
      <c r="P26" s="11">
        <v>20.372887001390353</v>
      </c>
      <c r="Q26" s="11">
        <v>23.174193523667064</v>
      </c>
      <c r="R26" s="11"/>
      <c r="S26" s="11">
        <f t="shared" si="3"/>
        <v>4.2972635608322278</v>
      </c>
      <c r="T26" s="11">
        <f>'RD T1'!T25</f>
        <v>9.2205889718924858</v>
      </c>
      <c r="U26" s="11">
        <f t="shared" si="6"/>
        <v>13.517852532724714</v>
      </c>
      <c r="W26" s="10" t="str">
        <f>name!D22</f>
        <v>62 Leisure, travel and related personal service occupations</v>
      </c>
      <c r="X26" s="11">
        <v>45.029635895585571</v>
      </c>
      <c r="Y26" s="11">
        <v>49.548695761505002</v>
      </c>
      <c r="Z26" s="11">
        <v>41.860965802942616</v>
      </c>
      <c r="AA26" s="11">
        <v>45.770199173486063</v>
      </c>
      <c r="AB26" s="11">
        <v>49.421112415958603</v>
      </c>
      <c r="AC26" s="11"/>
      <c r="AD26" s="11">
        <f t="shared" si="4"/>
        <v>7.5601466130159878</v>
      </c>
      <c r="AE26" s="11">
        <f>'RD T1'!T54</f>
        <v>25.535665524549096</v>
      </c>
      <c r="AF26" s="11">
        <f t="shared" si="7"/>
        <v>33.095812137565083</v>
      </c>
    </row>
    <row r="27" spans="1:32" x14ac:dyDescent="0.2">
      <c r="A27" s="10" t="str">
        <f>name!D23</f>
        <v>63 Community and civil enforcement occupations</v>
      </c>
      <c r="B27" s="11">
        <v>2.3131508259259101</v>
      </c>
      <c r="C27" s="11">
        <v>1.9078836606945633</v>
      </c>
      <c r="D27" s="11">
        <v>2.5974855797046024</v>
      </c>
      <c r="E27" s="11">
        <v>1.9940000216567171</v>
      </c>
      <c r="F27" s="11">
        <v>2.1017933821101242</v>
      </c>
      <c r="G27" s="11"/>
      <c r="H27" s="11">
        <f t="shared" si="2"/>
        <v>-0.49569219759447813</v>
      </c>
      <c r="I27" s="11">
        <f>'RD T1'!E26</f>
        <v>0.96042902903678651</v>
      </c>
      <c r="J27" s="11">
        <f t="shared" si="5"/>
        <v>0.46473683144230837</v>
      </c>
      <c r="L27" s="10" t="str">
        <f>name!D23</f>
        <v>63 Community and civil enforcement occupations</v>
      </c>
      <c r="M27" s="11">
        <v>1.8425907461153563</v>
      </c>
      <c r="N27" s="11">
        <v>1.312790301309946</v>
      </c>
      <c r="O27" s="11">
        <v>2.0683623969275833</v>
      </c>
      <c r="P27" s="11">
        <v>1.3080100265011601</v>
      </c>
      <c r="Q27" s="11">
        <v>1.4448210626147993</v>
      </c>
      <c r="R27" s="11"/>
      <c r="S27" s="11">
        <f t="shared" si="3"/>
        <v>-0.62354133431278402</v>
      </c>
      <c r="T27" s="11">
        <f>'RD T1'!T26</f>
        <v>0.55545539553246137</v>
      </c>
      <c r="U27" s="11">
        <f t="shared" si="6"/>
        <v>-6.8085938780322652E-2</v>
      </c>
      <c r="W27" s="10" t="str">
        <f>name!D23</f>
        <v>63 Community and civil enforcement occupations</v>
      </c>
      <c r="X27" s="11">
        <v>0.47056007981055364</v>
      </c>
      <c r="Y27" s="11">
        <v>0.59509335938461627</v>
      </c>
      <c r="Z27" s="11">
        <v>0.52912318277701664</v>
      </c>
      <c r="AA27" s="11">
        <v>0.68598999515555503</v>
      </c>
      <c r="AB27" s="11">
        <v>0.65697231949532697</v>
      </c>
      <c r="AC27" s="11"/>
      <c r="AD27" s="11">
        <f t="shared" si="4"/>
        <v>0.12784913671831033</v>
      </c>
      <c r="AE27" s="11">
        <f>'RD T1'!T55</f>
        <v>0.40497363350432536</v>
      </c>
      <c r="AF27" s="11">
        <f t="shared" si="7"/>
        <v>0.53282277022263569</v>
      </c>
    </row>
    <row r="28" spans="1:32" x14ac:dyDescent="0.2">
      <c r="A28" s="10" t="str">
        <f>name!D24</f>
        <v>71 Sales occupations</v>
      </c>
      <c r="B28" s="11">
        <v>215.33943518586108</v>
      </c>
      <c r="C28" s="11">
        <v>205.67561264127193</v>
      </c>
      <c r="D28" s="11">
        <v>205.71646638462903</v>
      </c>
      <c r="E28" s="11">
        <v>193.54246535149821</v>
      </c>
      <c r="F28" s="11">
        <v>183.50111866544393</v>
      </c>
      <c r="G28" s="11"/>
      <c r="H28" s="11">
        <f t="shared" si="2"/>
        <v>-22.215347719185104</v>
      </c>
      <c r="I28" s="11">
        <f>'RD T1'!E27</f>
        <v>88.980863076751064</v>
      </c>
      <c r="J28" s="11">
        <f t="shared" si="5"/>
        <v>66.76551535756596</v>
      </c>
      <c r="L28" s="10" t="str">
        <f>name!D24</f>
        <v>71 Sales occupations</v>
      </c>
      <c r="M28" s="11">
        <v>80.723769513229811</v>
      </c>
      <c r="N28" s="11">
        <v>79.43973051486698</v>
      </c>
      <c r="O28" s="11">
        <v>79.79323529189837</v>
      </c>
      <c r="P28" s="11">
        <v>75.902217122687318</v>
      </c>
      <c r="Q28" s="11">
        <v>74.901861463246405</v>
      </c>
      <c r="R28" s="11"/>
      <c r="S28" s="11">
        <f t="shared" si="3"/>
        <v>-4.8913738286519646</v>
      </c>
      <c r="T28" s="11">
        <f>'RD T1'!T27</f>
        <v>25.40605286699116</v>
      </c>
      <c r="U28" s="11">
        <f t="shared" si="6"/>
        <v>20.514679038339196</v>
      </c>
      <c r="W28" s="10" t="str">
        <f>name!D24</f>
        <v>71 Sales occupations</v>
      </c>
      <c r="X28" s="11">
        <v>134.61566567263142</v>
      </c>
      <c r="Y28" s="11">
        <v>126.23588212640554</v>
      </c>
      <c r="Z28" s="11">
        <v>125.92323109273038</v>
      </c>
      <c r="AA28" s="11">
        <v>117.64024822881061</v>
      </c>
      <c r="AB28" s="11">
        <v>108.59925720219753</v>
      </c>
      <c r="AC28" s="11"/>
      <c r="AD28" s="11">
        <f t="shared" si="4"/>
        <v>-17.323973890532841</v>
      </c>
      <c r="AE28" s="11">
        <f>'RD T1'!T56</f>
        <v>63.574810209759924</v>
      </c>
      <c r="AF28" s="11">
        <f t="shared" si="7"/>
        <v>46.250836319227083</v>
      </c>
    </row>
    <row r="29" spans="1:32" x14ac:dyDescent="0.2">
      <c r="A29" s="10" t="str">
        <f>name!D25</f>
        <v>72 Customer service occupations</v>
      </c>
      <c r="B29" s="11">
        <v>41.500878516960952</v>
      </c>
      <c r="C29" s="11">
        <v>45.630304505872942</v>
      </c>
      <c r="D29" s="11">
        <v>47.713083005611892</v>
      </c>
      <c r="E29" s="11">
        <v>61.798062374764939</v>
      </c>
      <c r="F29" s="11">
        <v>70.946426583313226</v>
      </c>
      <c r="G29" s="11"/>
      <c r="H29" s="11">
        <f t="shared" si="2"/>
        <v>23.233343577701334</v>
      </c>
      <c r="I29" s="11">
        <f>'RD T1'!E28</f>
        <v>29.283719178107937</v>
      </c>
      <c r="J29" s="11">
        <f t="shared" si="5"/>
        <v>52.51706275580927</v>
      </c>
      <c r="L29" s="10" t="str">
        <f>name!D25</f>
        <v>72 Customer service occupations</v>
      </c>
      <c r="M29" s="11">
        <v>16.181729224749038</v>
      </c>
      <c r="N29" s="11">
        <v>14.832523154990376</v>
      </c>
      <c r="O29" s="11">
        <v>17.595983402738995</v>
      </c>
      <c r="P29" s="11">
        <v>24.315733782523758</v>
      </c>
      <c r="Q29" s="11">
        <v>28.999600372833562</v>
      </c>
      <c r="R29" s="11"/>
      <c r="S29" s="11">
        <f t="shared" si="3"/>
        <v>11.403616970094568</v>
      </c>
      <c r="T29" s="11">
        <f>'RD T1'!T28</f>
        <v>8.75752701483799</v>
      </c>
      <c r="U29" s="11">
        <f t="shared" si="6"/>
        <v>20.161143984932558</v>
      </c>
      <c r="W29" s="10" t="str">
        <f>name!D25</f>
        <v>72 Customer service occupations</v>
      </c>
      <c r="X29" s="11">
        <v>25.319149292211911</v>
      </c>
      <c r="Y29" s="11">
        <v>30.797781350882484</v>
      </c>
      <c r="Z29" s="11">
        <v>30.117099602872955</v>
      </c>
      <c r="AA29" s="11">
        <v>37.482328592241146</v>
      </c>
      <c r="AB29" s="11">
        <v>41.946826210479621</v>
      </c>
      <c r="AC29" s="11"/>
      <c r="AD29" s="11">
        <f t="shared" si="4"/>
        <v>11.829726607606666</v>
      </c>
      <c r="AE29" s="11">
        <f>'RD T1'!T57</f>
        <v>20.52619216326995</v>
      </c>
      <c r="AF29" s="11">
        <f t="shared" si="7"/>
        <v>32.355918770876613</v>
      </c>
    </row>
    <row r="30" spans="1:32" x14ac:dyDescent="0.2">
      <c r="A30" s="10" t="str">
        <f>name!D26</f>
        <v>81 Process, plant and machine operatives</v>
      </c>
      <c r="B30" s="11">
        <v>73.880158585249745</v>
      </c>
      <c r="C30" s="11">
        <v>71.020391017063901</v>
      </c>
      <c r="D30" s="11">
        <v>62.582118755619781</v>
      </c>
      <c r="E30" s="11">
        <v>75.783037685328537</v>
      </c>
      <c r="F30" s="11">
        <v>75.3654050728952</v>
      </c>
      <c r="G30" s="11"/>
      <c r="H30" s="11">
        <f t="shared" si="2"/>
        <v>12.783286317275419</v>
      </c>
      <c r="I30" s="11">
        <f>'RD T1'!E29</f>
        <v>28.620865787555413</v>
      </c>
      <c r="J30" s="11">
        <f t="shared" si="5"/>
        <v>41.404152104830828</v>
      </c>
      <c r="L30" s="10" t="str">
        <f>name!D26</f>
        <v>81 Process, plant and machine operatives</v>
      </c>
      <c r="M30" s="11">
        <v>58.80669396073732</v>
      </c>
      <c r="N30" s="11">
        <v>55.054179100475274</v>
      </c>
      <c r="O30" s="11">
        <v>48.598545951671234</v>
      </c>
      <c r="P30" s="11">
        <v>57.548735841505412</v>
      </c>
      <c r="Q30" s="11">
        <v>55.17016510188045</v>
      </c>
      <c r="R30" s="11"/>
      <c r="S30" s="11">
        <f t="shared" si="3"/>
        <v>6.5716191502092158</v>
      </c>
      <c r="T30" s="11">
        <f>'RD T1'!T29</f>
        <v>19.731932905650218</v>
      </c>
      <c r="U30" s="11">
        <f t="shared" si="6"/>
        <v>26.303552055859434</v>
      </c>
      <c r="W30" s="10" t="str">
        <f>name!D26</f>
        <v>81 Process, plant and machine operatives</v>
      </c>
      <c r="X30" s="11">
        <v>15.073464624512367</v>
      </c>
      <c r="Y30" s="11">
        <v>15.966211916588545</v>
      </c>
      <c r="Z30" s="11">
        <v>13.983572803948594</v>
      </c>
      <c r="AA30" s="11">
        <v>18.234301843823122</v>
      </c>
      <c r="AB30" s="11">
        <v>20.195239971014729</v>
      </c>
      <c r="AC30" s="11"/>
      <c r="AD30" s="11">
        <f t="shared" si="4"/>
        <v>6.2116671670661354</v>
      </c>
      <c r="AE30" s="11">
        <f>'RD T1'!T58</f>
        <v>8.8889328819051858</v>
      </c>
      <c r="AF30" s="11">
        <f t="shared" si="7"/>
        <v>15.100600048971321</v>
      </c>
    </row>
    <row r="31" spans="1:32" x14ac:dyDescent="0.2">
      <c r="A31" s="10" t="str">
        <f>name!D27</f>
        <v>82 Transport and mobile machine drivers and operatives</v>
      </c>
      <c r="B31" s="11">
        <v>85.619333849694627</v>
      </c>
      <c r="C31" s="11">
        <v>91.331008905970776</v>
      </c>
      <c r="D31" s="11">
        <v>82.153643253397007</v>
      </c>
      <c r="E31" s="11">
        <v>87.85768973976711</v>
      </c>
      <c r="F31" s="11">
        <v>90.140369989187306</v>
      </c>
      <c r="G31" s="11"/>
      <c r="H31" s="11">
        <f t="shared" si="2"/>
        <v>7.9867267357902989</v>
      </c>
      <c r="I31" s="11">
        <f>'RD T1'!E30</f>
        <v>46.726470781519929</v>
      </c>
      <c r="J31" s="11">
        <f t="shared" si="5"/>
        <v>54.713197517310228</v>
      </c>
      <c r="L31" s="10" t="str">
        <f>name!D27</f>
        <v>82 Transport and mobile machine drivers and operatives</v>
      </c>
      <c r="M31" s="11">
        <v>79.0711755821943</v>
      </c>
      <c r="N31" s="11">
        <v>83.717497532159996</v>
      </c>
      <c r="O31" s="11">
        <v>75.264032842464331</v>
      </c>
      <c r="P31" s="11">
        <v>78.283092591017208</v>
      </c>
      <c r="Q31" s="11">
        <v>79.085334594111487</v>
      </c>
      <c r="R31" s="11"/>
      <c r="S31" s="11">
        <f t="shared" si="3"/>
        <v>3.8213017516471552</v>
      </c>
      <c r="T31" s="11">
        <f>'RD T1'!T30</f>
        <v>40.537717500947636</v>
      </c>
      <c r="U31" s="11">
        <f t="shared" si="6"/>
        <v>44.359019252594791</v>
      </c>
      <c r="W31" s="10" t="str">
        <f>name!D27</f>
        <v>82 Transport and mobile machine drivers and operatives</v>
      </c>
      <c r="X31" s="11">
        <v>6.5481582675005141</v>
      </c>
      <c r="Y31" s="11">
        <v>7.6135113738109705</v>
      </c>
      <c r="Z31" s="11">
        <v>6.8896104109328249</v>
      </c>
      <c r="AA31" s="11">
        <v>9.5745971487496107</v>
      </c>
      <c r="AB31" s="11">
        <v>11.055035395075796</v>
      </c>
      <c r="AC31" s="11"/>
      <c r="AD31" s="11">
        <f t="shared" si="4"/>
        <v>4.1654249841429714</v>
      </c>
      <c r="AE31" s="11">
        <f>'RD T1'!T59</f>
        <v>6.1887532805722936</v>
      </c>
      <c r="AF31" s="11">
        <f t="shared" si="7"/>
        <v>10.354178264715266</v>
      </c>
    </row>
    <row r="32" spans="1:32" x14ac:dyDescent="0.2">
      <c r="A32" s="10" t="str">
        <f>name!D28</f>
        <v>91 Elementary trades and related occupations</v>
      </c>
      <c r="B32" s="11">
        <v>51.619419586461767</v>
      </c>
      <c r="C32" s="11">
        <v>45.787577245667286</v>
      </c>
      <c r="D32" s="11">
        <v>41.169715797010497</v>
      </c>
      <c r="E32" s="11">
        <v>36.484962734682078</v>
      </c>
      <c r="F32" s="11">
        <v>36.262160530619973</v>
      </c>
      <c r="G32" s="11"/>
      <c r="H32" s="11">
        <f t="shared" si="2"/>
        <v>-4.9075552663905242</v>
      </c>
      <c r="I32" s="11">
        <f>'RD T1'!E31</f>
        <v>14.390062072823035</v>
      </c>
      <c r="J32" s="11">
        <f t="shared" si="5"/>
        <v>9.4825068064325109</v>
      </c>
      <c r="L32" s="10" t="str">
        <f>name!D28</f>
        <v>91 Elementary trades and related occupations</v>
      </c>
      <c r="M32" s="11">
        <v>38.370613606560667</v>
      </c>
      <c r="N32" s="11">
        <v>34.026819859199463</v>
      </c>
      <c r="O32" s="11">
        <v>31.028087080946303</v>
      </c>
      <c r="P32" s="11">
        <v>27.054417370969016</v>
      </c>
      <c r="Q32" s="11">
        <v>26.858314047210502</v>
      </c>
      <c r="R32" s="11"/>
      <c r="S32" s="11">
        <f t="shared" si="3"/>
        <v>-4.169773033735801</v>
      </c>
      <c r="T32" s="11">
        <f>'RD T1'!T31</f>
        <v>8.8067535680205609</v>
      </c>
      <c r="U32" s="11">
        <f t="shared" si="6"/>
        <v>4.6369805342847599</v>
      </c>
      <c r="W32" s="10" t="str">
        <f>name!D28</f>
        <v>91 Elementary trades and related occupations</v>
      </c>
      <c r="X32" s="11">
        <v>13.248805979900995</v>
      </c>
      <c r="Y32" s="11">
        <v>11.760757386467933</v>
      </c>
      <c r="Z32" s="11">
        <v>10.141628716064233</v>
      </c>
      <c r="AA32" s="11">
        <v>9.4305453637131276</v>
      </c>
      <c r="AB32" s="11">
        <v>9.4038464834095681</v>
      </c>
      <c r="AC32" s="11"/>
      <c r="AD32" s="11">
        <f t="shared" si="4"/>
        <v>-0.73778223265466458</v>
      </c>
      <c r="AE32" s="11">
        <f>'RD T1'!T60</f>
        <v>5.5833085048024689</v>
      </c>
      <c r="AF32" s="11">
        <f t="shared" si="7"/>
        <v>4.8455262721478043</v>
      </c>
    </row>
    <row r="33" spans="1:32" x14ac:dyDescent="0.2">
      <c r="A33" s="10" t="str">
        <f>name!D29</f>
        <v>92 Elementary administration and service occupations</v>
      </c>
      <c r="B33" s="11">
        <v>267.90820636892653</v>
      </c>
      <c r="C33" s="11">
        <v>272.03490961541218</v>
      </c>
      <c r="D33" s="11">
        <v>255.12733961802351</v>
      </c>
      <c r="E33" s="11">
        <v>270.40729192943337</v>
      </c>
      <c r="F33" s="11">
        <v>263.59541453038582</v>
      </c>
      <c r="G33" s="11"/>
      <c r="H33" s="11">
        <f t="shared" ref="H33" si="8">F33-D33</f>
        <v>8.4680749123623116</v>
      </c>
      <c r="I33" s="11">
        <f>'RD T1'!E32</f>
        <v>128.05821043939147</v>
      </c>
      <c r="J33" s="11">
        <f>SUM(H33:I33)</f>
        <v>136.52628535175378</v>
      </c>
      <c r="L33" s="10" t="str">
        <f>name!D29</f>
        <v>92 Elementary administration and service occupations</v>
      </c>
      <c r="M33" s="11">
        <v>135.0071387485128</v>
      </c>
      <c r="N33" s="11">
        <v>123.97226148485372</v>
      </c>
      <c r="O33" s="11">
        <v>124.72453323532648</v>
      </c>
      <c r="P33" s="11">
        <v>136.22480332409535</v>
      </c>
      <c r="Q33" s="11">
        <v>129.73042974307211</v>
      </c>
      <c r="R33" s="11"/>
      <c r="S33" s="11">
        <f t="shared" ref="S33" si="9">Q33-O33</f>
        <v>5.0058965077456321</v>
      </c>
      <c r="T33" s="11">
        <f>'RD T1'!T32</f>
        <v>51.949435863842098</v>
      </c>
      <c r="U33" s="11">
        <f>SUM(S33:T33)</f>
        <v>56.95533237158773</v>
      </c>
      <c r="W33" s="10" t="str">
        <f>name!D29</f>
        <v>92 Elementary administration and service occupations</v>
      </c>
      <c r="X33" s="11">
        <v>132.9010676204135</v>
      </c>
      <c r="Y33" s="11">
        <v>148.06264813055753</v>
      </c>
      <c r="Z33" s="11">
        <v>130.40280638269709</v>
      </c>
      <c r="AA33" s="11">
        <v>134.18248860533848</v>
      </c>
      <c r="AB33" s="11">
        <v>133.86498478731414</v>
      </c>
      <c r="AC33" s="11"/>
      <c r="AD33" s="11">
        <f t="shared" ref="AD33" si="10">AB33-Z33</f>
        <v>3.462178404617049</v>
      </c>
      <c r="AE33" s="11">
        <f>'RD T1'!T61</f>
        <v>76.10877457554939</v>
      </c>
      <c r="AF33" s="11">
        <f>SUM(AD33:AE33)</f>
        <v>79.570952980166439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3">
        <f>SUM(B8:B33)</f>
        <v>2817.8519999971127</v>
      </c>
      <c r="C35" s="33">
        <f t="shared" ref="C35:F35" si="11">SUM(C8:C33)</f>
        <v>2962.1069999996525</v>
      </c>
      <c r="D35" s="33">
        <f t="shared" si="11"/>
        <v>2929.5869999964648</v>
      </c>
      <c r="E35" s="33">
        <f t="shared" si="11"/>
        <v>3058.6549999943322</v>
      </c>
      <c r="F35" s="33">
        <f t="shared" si="11"/>
        <v>3240.0929999972909</v>
      </c>
      <c r="G35" s="11"/>
      <c r="H35" s="33">
        <f>F35-D35</f>
        <v>310.50600000082613</v>
      </c>
      <c r="I35" s="33">
        <f>SUM(I8:I33)</f>
        <v>1498.7302638611791</v>
      </c>
      <c r="J35" s="33">
        <f>SUM(J8:J33)</f>
        <v>1809.2362638620061</v>
      </c>
      <c r="L35" s="231" t="str">
        <f>name!D3</f>
        <v>All occupations</v>
      </c>
      <c r="M35" s="33">
        <f>SUM(M8:M33)</f>
        <v>1479.1279999993342</v>
      </c>
      <c r="N35" s="33">
        <f t="shared" ref="N35:P35" si="12">SUM(N8:N33)</f>
        <v>1519.4590000013991</v>
      </c>
      <c r="O35" s="33">
        <f t="shared" si="12"/>
        <v>1491.5389999983781</v>
      </c>
      <c r="P35" s="33">
        <f t="shared" si="12"/>
        <v>1547.6319999959112</v>
      </c>
      <c r="Q35" s="33">
        <f>SUM(Q8:Q33)</f>
        <v>1623.9979999964846</v>
      </c>
      <c r="R35" s="11"/>
      <c r="S35" s="33">
        <f>Q35-O35</f>
        <v>132.45899999810649</v>
      </c>
      <c r="T35" s="33">
        <f>SUM(T8:T33)</f>
        <v>631.18212834416317</v>
      </c>
      <c r="U35" s="33">
        <f>SUM(U8:U33)</f>
        <v>763.64112834226898</v>
      </c>
      <c r="W35" s="231" t="str">
        <f>name!D3</f>
        <v>All occupations</v>
      </c>
      <c r="X35" s="33">
        <f>SUM(X8:X33)</f>
        <v>1338.7239999977794</v>
      </c>
      <c r="Y35" s="33">
        <f t="shared" ref="Y35:AB35" si="13">SUM(Y8:Y33)</f>
        <v>1442.6479999982541</v>
      </c>
      <c r="Z35" s="33">
        <f t="shared" si="13"/>
        <v>1438.047999998086</v>
      </c>
      <c r="AA35" s="33">
        <f t="shared" si="13"/>
        <v>1511.0229999984231</v>
      </c>
      <c r="AB35" s="33">
        <f t="shared" si="13"/>
        <v>1616.0950000008086</v>
      </c>
      <c r="AC35" s="11"/>
      <c r="AD35" s="33">
        <f>AB35-Z35</f>
        <v>178.0470000027226</v>
      </c>
      <c r="AE35" s="33">
        <f>SUM(AE8:AE33)</f>
        <v>867.54813551701568</v>
      </c>
      <c r="AF35" s="33">
        <f>SUM(AF8:AF33)</f>
        <v>1045.5951355197387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8" t="str">
        <f>CONCATENATE(A$1," (Continued)")</f>
        <v>Occupation Table 2  Employment Change by Occupation (SOC 2020) and Replacement Demand, 2015-2035, South West (Continued)</v>
      </c>
      <c r="L38" s="18" t="str">
        <f>CONCATENATE(L$1," (Continued)")</f>
        <v>Occupation Table 2.1  Males: Employment Change by Occupation (SOC 2020) and Replacement Demand, 2015-2035, South West (Continued)</v>
      </c>
      <c r="W38" s="18" t="str">
        <f>CONCATENATE(W$1," (Continued)")</f>
        <v>Occupation Table 2.2  Females: Employment Change by Occupation (SOC 2020) and Replacement Demand, 2015-2035, South West (Continued)</v>
      </c>
    </row>
    <row r="40" spans="1:32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2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2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2">
        <f t="shared" ref="B45:F54" si="20">B8/B$35*100</f>
        <v>6.3270797980697537</v>
      </c>
      <c r="C45" s="172">
        <f t="shared" si="20"/>
        <v>7.2110036186597224</v>
      </c>
      <c r="D45" s="172">
        <f t="shared" si="20"/>
        <v>7.5240697206171268</v>
      </c>
      <c r="E45" s="172">
        <f t="shared" si="20"/>
        <v>6.7638229682975091</v>
      </c>
      <c r="F45" s="172">
        <f t="shared" si="20"/>
        <v>7.0554121699180916</v>
      </c>
      <c r="H45" s="67">
        <f t="shared" ref="H45:H70" si="21">IF(D8&gt;0,(H8/D8)*100,0)</f>
        <v>3.7100048927237408</v>
      </c>
      <c r="I45" s="68">
        <f t="shared" ref="I45:I70" si="22">IF(D8&gt;0,I8/D8*100,0)</f>
        <v>49.671527998224924</v>
      </c>
      <c r="J45" s="68">
        <f t="shared" ref="J45:J70" si="23">IF(D8&gt;0,(J8/D8)*100,0)</f>
        <v>53.381532890948669</v>
      </c>
      <c r="L45" t="str">
        <f t="shared" ref="L45:L70" si="24">L8</f>
        <v>11 Corporate managers and directors</v>
      </c>
      <c r="M45" s="172">
        <f t="shared" ref="M45:Q45" si="25">M8/M$35*100</f>
        <v>8.646054854428721</v>
      </c>
      <c r="N45" s="172">
        <f t="shared" si="25"/>
        <v>9.5737361771887652</v>
      </c>
      <c r="O45" s="172">
        <f t="shared" si="25"/>
        <v>9.8742107191444344</v>
      </c>
      <c r="P45" s="172">
        <f t="shared" si="25"/>
        <v>8.6979460675204887</v>
      </c>
      <c r="Q45" s="172">
        <f t="shared" si="25"/>
        <v>8.8252857282161266</v>
      </c>
      <c r="S45" s="67">
        <f t="shared" ref="S45:S70" si="26">IF(O8&gt;0,(S8/O8)*100,0)</f>
        <v>-2.6855661076442376</v>
      </c>
      <c r="T45" s="68">
        <f t="shared" ref="T45:T70" si="27">IF(O8&gt;0,T8/O8*100,0)</f>
        <v>43.72311784760349</v>
      </c>
      <c r="U45" s="68">
        <f t="shared" ref="U45:U70" si="28">IF(O8&gt;0,(U8/O8)*100,0)</f>
        <v>41.037551739959255</v>
      </c>
      <c r="W45" t="str">
        <f t="shared" ref="W45:W70" si="29">W8</f>
        <v>11 Corporate managers and directors</v>
      </c>
      <c r="X45" s="172">
        <f t="shared" ref="X45:AB45" si="30">X8/X$35*100</f>
        <v>3.7648930163535237</v>
      </c>
      <c r="Y45" s="172">
        <f t="shared" si="30"/>
        <v>4.7224719389585452</v>
      </c>
      <c r="Z45" s="172">
        <f t="shared" si="30"/>
        <v>5.0865106441445134</v>
      </c>
      <c r="AA45" s="172">
        <f t="shared" si="30"/>
        <v>4.7828400181426431</v>
      </c>
      <c r="AB45" s="172">
        <f t="shared" si="30"/>
        <v>5.2768836063613458</v>
      </c>
      <c r="AD45" s="67">
        <f t="shared" ref="AD45:AD70" si="31">IF(Z8&gt;0,(AD8/Z8)*100,0)</f>
        <v>16.587250797190435</v>
      </c>
      <c r="AE45" s="68">
        <f t="shared" ref="AE45:AE70" si="32">IF(Z8&gt;0,AE8/Z8*100,0)</f>
        <v>61.648432053510824</v>
      </c>
      <c r="AF45" s="68">
        <f t="shared" ref="AF45:AF70" si="33">IF(Z8&gt;0,(AF8/Z8)*100,0)</f>
        <v>78.235682850701266</v>
      </c>
    </row>
    <row r="46" spans="1:32" x14ac:dyDescent="0.2">
      <c r="A46" t="str">
        <f t="shared" si="19"/>
        <v>12 Other managers and proprietors</v>
      </c>
      <c r="B46" s="172">
        <f t="shared" si="20"/>
        <v>3.6705339999986029</v>
      </c>
      <c r="C46" s="172">
        <f t="shared" si="20"/>
        <v>3.8659434621851134</v>
      </c>
      <c r="D46" s="172">
        <f t="shared" si="20"/>
        <v>3.9680504339739686</v>
      </c>
      <c r="E46" s="172">
        <f t="shared" si="20"/>
        <v>4.7118541269447229</v>
      </c>
      <c r="F46" s="172">
        <f t="shared" si="20"/>
        <v>5.1093352343154832</v>
      </c>
      <c r="H46" s="67">
        <f t="shared" si="21"/>
        <v>42.409280189763564</v>
      </c>
      <c r="I46" s="68">
        <f t="shared" si="22"/>
        <v>72.329278305188367</v>
      </c>
      <c r="J46" s="68">
        <f t="shared" si="23"/>
        <v>114.73855849495193</v>
      </c>
      <c r="L46" t="str">
        <f t="shared" si="24"/>
        <v>12 Other managers and proprietors</v>
      </c>
      <c r="M46" s="172">
        <f t="shared" ref="M46:Q46" si="34">M9/M$35*100</f>
        <v>4.2991360225568194</v>
      </c>
      <c r="N46" s="172">
        <f t="shared" si="34"/>
        <v>4.613618861899897</v>
      </c>
      <c r="O46" s="172">
        <f t="shared" si="34"/>
        <v>4.5521446713810851</v>
      </c>
      <c r="P46" s="172">
        <f t="shared" si="34"/>
        <v>5.6174180149612907</v>
      </c>
      <c r="Q46" s="172">
        <f t="shared" si="34"/>
        <v>6.2706115741875124</v>
      </c>
      <c r="S46" s="67">
        <f t="shared" si="26"/>
        <v>49.983926962111902</v>
      </c>
      <c r="T46" s="68">
        <f t="shared" si="27"/>
        <v>67.906796955290744</v>
      </c>
      <c r="U46" s="68">
        <f t="shared" si="28"/>
        <v>117.89072391740262</v>
      </c>
      <c r="W46" t="str">
        <f t="shared" si="29"/>
        <v>12 Other managers and proprietors</v>
      </c>
      <c r="X46" s="172">
        <f t="shared" ref="X46:AB46" si="35">X9/X$35*100</f>
        <v>2.9760048420664269</v>
      </c>
      <c r="Y46" s="172">
        <f t="shared" si="35"/>
        <v>3.0784595332033646</v>
      </c>
      <c r="Z46" s="172">
        <f t="shared" si="35"/>
        <v>3.3622296722412597</v>
      </c>
      <c r="AA46" s="172">
        <f t="shared" si="35"/>
        <v>3.7843502761518586</v>
      </c>
      <c r="AB46" s="172">
        <f t="shared" si="35"/>
        <v>3.9423800408432781</v>
      </c>
      <c r="AD46" s="67">
        <f t="shared" si="31"/>
        <v>31.772448294232824</v>
      </c>
      <c r="AE46" s="68">
        <f t="shared" si="32"/>
        <v>78.53962607370913</v>
      </c>
      <c r="AF46" s="68">
        <f t="shared" si="33"/>
        <v>110.31207436794197</v>
      </c>
    </row>
    <row r="47" spans="1:32" x14ac:dyDescent="0.2">
      <c r="A47" t="str">
        <f t="shared" si="19"/>
        <v>21 Science, research, engineering and technology professionals</v>
      </c>
      <c r="B47" s="172">
        <f t="shared" si="20"/>
        <v>5.2291915804525591</v>
      </c>
      <c r="C47" s="172">
        <f t="shared" si="20"/>
        <v>5.7171507692469969</v>
      </c>
      <c r="D47" s="172">
        <f t="shared" si="20"/>
        <v>5.9663615521948179</v>
      </c>
      <c r="E47" s="172">
        <f t="shared" si="20"/>
        <v>6.0988444246365434</v>
      </c>
      <c r="F47" s="172">
        <f t="shared" si="20"/>
        <v>6.4671599817509851</v>
      </c>
      <c r="H47" s="67">
        <f t="shared" si="21"/>
        <v>19.882312883396839</v>
      </c>
      <c r="I47" s="68">
        <f t="shared" si="22"/>
        <v>40.871381772766334</v>
      </c>
      <c r="J47" s="68">
        <f t="shared" si="23"/>
        <v>60.753694656163169</v>
      </c>
      <c r="L47" t="str">
        <f t="shared" si="24"/>
        <v>21 Science, research, engineering and technology professionals</v>
      </c>
      <c r="M47" s="172">
        <f t="shared" ref="M47:Q47" si="36">M10/M$35*100</f>
        <v>8.1618569584976939</v>
      </c>
      <c r="N47" s="172">
        <f t="shared" si="36"/>
        <v>9.1305567319082641</v>
      </c>
      <c r="O47" s="172">
        <f t="shared" si="36"/>
        <v>9.2258202453516773</v>
      </c>
      <c r="P47" s="172">
        <f t="shared" si="36"/>
        <v>9.1566606769260588</v>
      </c>
      <c r="Q47" s="172">
        <f t="shared" si="36"/>
        <v>9.5724525975852615</v>
      </c>
      <c r="S47" s="67">
        <f t="shared" si="26"/>
        <v>12.97155646813532</v>
      </c>
      <c r="T47" s="68">
        <f t="shared" si="27"/>
        <v>34.491738497222279</v>
      </c>
      <c r="U47" s="68">
        <f t="shared" si="28"/>
        <v>47.463294965357591</v>
      </c>
      <c r="W47" t="str">
        <f t="shared" si="29"/>
        <v>21 Science, research, engineering and technology professionals</v>
      </c>
      <c r="X47" s="172">
        <f t="shared" ref="X47:AB47" si="37">X10/X$35*100</f>
        <v>1.9889512655688897</v>
      </c>
      <c r="Y47" s="172">
        <f t="shared" si="37"/>
        <v>2.1220046139614874</v>
      </c>
      <c r="Z47" s="172">
        <f t="shared" si="37"/>
        <v>2.5856609359889218</v>
      </c>
      <c r="AA47" s="172">
        <f t="shared" si="37"/>
        <v>2.9669435322240791</v>
      </c>
      <c r="AB47" s="172">
        <f t="shared" si="37"/>
        <v>3.3466819173326168</v>
      </c>
      <c r="AD47" s="67">
        <f t="shared" si="31"/>
        <v>45.457583110729942</v>
      </c>
      <c r="AE47" s="68">
        <f t="shared" si="32"/>
        <v>64.481112882042282</v>
      </c>
      <c r="AF47" s="68">
        <f t="shared" si="33"/>
        <v>109.93869599277221</v>
      </c>
    </row>
    <row r="48" spans="1:32" x14ac:dyDescent="0.2">
      <c r="A48" t="str">
        <f t="shared" si="19"/>
        <v>22 Health professionals</v>
      </c>
      <c r="B48" s="172">
        <f t="shared" si="20"/>
        <v>4.3701481186543099</v>
      </c>
      <c r="C48" s="172">
        <f t="shared" si="20"/>
        <v>4.6357880947321384</v>
      </c>
      <c r="D48" s="172">
        <f t="shared" si="20"/>
        <v>4.6445756254133626</v>
      </c>
      <c r="E48" s="172">
        <f t="shared" si="20"/>
        <v>4.9700133003923339</v>
      </c>
      <c r="F48" s="172">
        <f t="shared" si="20"/>
        <v>5.430774761989059</v>
      </c>
      <c r="H48" s="67">
        <f t="shared" si="21"/>
        <v>29.320337240708522</v>
      </c>
      <c r="I48" s="68">
        <f t="shared" si="22"/>
        <v>61.493200300308118</v>
      </c>
      <c r="J48" s="68">
        <f t="shared" si="23"/>
        <v>90.813537541016629</v>
      </c>
      <c r="L48" t="str">
        <f t="shared" si="24"/>
        <v>22 Health professionals</v>
      </c>
      <c r="M48" s="172">
        <f t="shared" ref="M48:Q48" si="38">M11/M$35*100</f>
        <v>2.2304311075000829</v>
      </c>
      <c r="N48" s="172">
        <f t="shared" si="38"/>
        <v>2.3082988336713113</v>
      </c>
      <c r="O48" s="172">
        <f t="shared" si="38"/>
        <v>2.6128672718076453</v>
      </c>
      <c r="P48" s="172">
        <f t="shared" si="38"/>
        <v>2.8154071887503451</v>
      </c>
      <c r="Q48" s="172">
        <f t="shared" si="38"/>
        <v>3.135679352041207</v>
      </c>
      <c r="S48" s="67">
        <f t="shared" si="26"/>
        <v>30.666775404502012</v>
      </c>
      <c r="T48" s="68">
        <f t="shared" si="27"/>
        <v>44.89121457793329</v>
      </c>
      <c r="U48" s="68">
        <f t="shared" si="28"/>
        <v>75.557989982435302</v>
      </c>
      <c r="W48" t="str">
        <f t="shared" si="29"/>
        <v>22 Health professionals</v>
      </c>
      <c r="X48" s="172">
        <f t="shared" ref="X48:AB48" si="39">X11/X$35*100</f>
        <v>6.734276455248235</v>
      </c>
      <c r="Y48" s="172">
        <f t="shared" si="39"/>
        <v>7.0872000158173796</v>
      </c>
      <c r="Z48" s="172">
        <f t="shared" si="39"/>
        <v>6.7518573336939278</v>
      </c>
      <c r="AA48" s="172">
        <f t="shared" si="39"/>
        <v>7.1768211158705713</v>
      </c>
      <c r="AB48" s="172">
        <f t="shared" si="39"/>
        <v>7.7370936080683848</v>
      </c>
      <c r="AD48" s="67">
        <f t="shared" si="31"/>
        <v>28.779904395193668</v>
      </c>
      <c r="AE48" s="68">
        <f t="shared" si="32"/>
        <v>68.156899106844321</v>
      </c>
      <c r="AF48" s="68">
        <f t="shared" si="33"/>
        <v>96.936803502037989</v>
      </c>
    </row>
    <row r="49" spans="1:32" x14ac:dyDescent="0.2">
      <c r="A49" t="str">
        <f t="shared" si="19"/>
        <v>23 Teaching and other educational professionals</v>
      </c>
      <c r="B49" s="172">
        <f t="shared" si="20"/>
        <v>4.6830275268737092</v>
      </c>
      <c r="C49" s="172">
        <f t="shared" si="20"/>
        <v>4.9319727289824646</v>
      </c>
      <c r="D49" s="172">
        <f t="shared" si="20"/>
        <v>5.0234516111721863</v>
      </c>
      <c r="E49" s="172">
        <f t="shared" si="20"/>
        <v>5.0897052223970531</v>
      </c>
      <c r="F49" s="172">
        <f t="shared" si="20"/>
        <v>5.3255165129905455</v>
      </c>
      <c r="H49" s="67">
        <f t="shared" si="21"/>
        <v>17.249389076434134</v>
      </c>
      <c r="I49" s="68">
        <f t="shared" si="22"/>
        <v>55.529476064363607</v>
      </c>
      <c r="J49" s="68">
        <f t="shared" si="23"/>
        <v>72.778865140797734</v>
      </c>
      <c r="L49" t="str">
        <f t="shared" si="24"/>
        <v>23 Teaching and other educational professionals</v>
      </c>
      <c r="M49" s="172">
        <f t="shared" ref="M49:Q49" si="40">M12/M$35*100</f>
        <v>3.1885365270133499</v>
      </c>
      <c r="N49" s="172">
        <f t="shared" si="40"/>
        <v>3.2711010285791513</v>
      </c>
      <c r="O49" s="172">
        <f t="shared" si="40"/>
        <v>3.1273525326364049</v>
      </c>
      <c r="P49" s="172">
        <f t="shared" si="40"/>
        <v>3.3009244671063565</v>
      </c>
      <c r="Q49" s="172">
        <f t="shared" si="40"/>
        <v>3.4576421496860825</v>
      </c>
      <c r="S49" s="67">
        <f t="shared" si="26"/>
        <v>20.379928254149355</v>
      </c>
      <c r="T49" s="68">
        <f t="shared" si="27"/>
        <v>47.381585839103778</v>
      </c>
      <c r="U49" s="68">
        <f t="shared" si="28"/>
        <v>67.76151409325314</v>
      </c>
      <c r="W49" t="str">
        <f t="shared" si="29"/>
        <v>23 Teaching and other educational professionals</v>
      </c>
      <c r="X49" s="172">
        <f t="shared" ref="X49:AB49" si="41">X12/X$35*100</f>
        <v>6.3342592099122799</v>
      </c>
      <c r="Y49" s="172">
        <f t="shared" si="41"/>
        <v>6.6812743278676079</v>
      </c>
      <c r="Z49" s="172">
        <f t="shared" si="41"/>
        <v>6.9900797929163812</v>
      </c>
      <c r="AA49" s="172">
        <f t="shared" si="41"/>
        <v>6.9218244805867677</v>
      </c>
      <c r="AB49" s="172">
        <f t="shared" si="41"/>
        <v>7.2025251234061631</v>
      </c>
      <c r="AD49" s="67">
        <f t="shared" si="31"/>
        <v>15.796691937704962</v>
      </c>
      <c r="AE49" s="68">
        <f t="shared" si="32"/>
        <v>59.310427569833237</v>
      </c>
      <c r="AF49" s="68">
        <f t="shared" si="33"/>
        <v>75.107119507538187</v>
      </c>
    </row>
    <row r="50" spans="1:32" x14ac:dyDescent="0.2">
      <c r="A50" t="str">
        <f t="shared" si="19"/>
        <v>24 Business, media and public service professionals</v>
      </c>
      <c r="B50" s="172">
        <f t="shared" si="20"/>
        <v>5.4427010395528308</v>
      </c>
      <c r="C50" s="172">
        <f t="shared" si="20"/>
        <v>6.0738448836174816</v>
      </c>
      <c r="D50" s="172">
        <f t="shared" si="20"/>
        <v>6.6644614430052069</v>
      </c>
      <c r="E50" s="172">
        <f t="shared" si="20"/>
        <v>7.2385117189121022</v>
      </c>
      <c r="F50" s="172">
        <f t="shared" si="20"/>
        <v>7.7861811799768628</v>
      </c>
      <c r="H50" s="67">
        <f t="shared" si="21"/>
        <v>29.214282886121527</v>
      </c>
      <c r="I50" s="68">
        <f t="shared" si="22"/>
        <v>55.472989237930484</v>
      </c>
      <c r="J50" s="68">
        <f t="shared" si="23"/>
        <v>84.687272124052001</v>
      </c>
      <c r="L50" t="str">
        <f t="shared" si="24"/>
        <v>24 Business, media and public service professionals</v>
      </c>
      <c r="M50" s="172">
        <f t="shared" ref="M50:Q50" si="42">M13/M$35*100</f>
        <v>6.375413572656913</v>
      </c>
      <c r="N50" s="172">
        <f t="shared" si="42"/>
        <v>6.8878323691902628</v>
      </c>
      <c r="O50" s="172">
        <f t="shared" si="42"/>
        <v>7.3853857524680686</v>
      </c>
      <c r="P50" s="172">
        <f t="shared" si="42"/>
        <v>8.0999955976214881</v>
      </c>
      <c r="Q50" s="172">
        <f t="shared" si="42"/>
        <v>8.5868908188936786</v>
      </c>
      <c r="S50" s="67">
        <f t="shared" si="26"/>
        <v>26.5941488585492</v>
      </c>
      <c r="T50" s="68">
        <f t="shared" si="27"/>
        <v>48.556359035038895</v>
      </c>
      <c r="U50" s="68">
        <f t="shared" si="28"/>
        <v>75.150507893588099</v>
      </c>
      <c r="W50" t="str">
        <f t="shared" si="29"/>
        <v>24 Business, media and public service professionals</v>
      </c>
      <c r="X50" s="172">
        <f t="shared" ref="X50:AB50" si="43">X13/X$35*100</f>
        <v>4.4121665726523593</v>
      </c>
      <c r="Y50" s="172">
        <f t="shared" si="43"/>
        <v>5.2165182101367851</v>
      </c>
      <c r="Z50" s="172">
        <f t="shared" si="43"/>
        <v>5.9167209478255574</v>
      </c>
      <c r="AA50" s="172">
        <f t="shared" si="43"/>
        <v>6.3561558459884999</v>
      </c>
      <c r="AB50" s="172">
        <f t="shared" si="43"/>
        <v>6.981555924544419</v>
      </c>
      <c r="AD50" s="67">
        <f t="shared" si="31"/>
        <v>32.6064468464253</v>
      </c>
      <c r="AE50" s="68">
        <f t="shared" si="32"/>
        <v>64.427624174196012</v>
      </c>
      <c r="AF50" s="68">
        <f t="shared" si="33"/>
        <v>97.034071020621298</v>
      </c>
    </row>
    <row r="51" spans="1:32" x14ac:dyDescent="0.2">
      <c r="A51" t="str">
        <f t="shared" si="19"/>
        <v>31 Science, engineering and technology associate professionals</v>
      </c>
      <c r="B51" s="172">
        <f t="shared" si="20"/>
        <v>1.5613022096788447</v>
      </c>
      <c r="C51" s="172">
        <f t="shared" si="20"/>
        <v>1.7664595469696631</v>
      </c>
      <c r="D51" s="172">
        <f t="shared" si="20"/>
        <v>1.9534167381686574</v>
      </c>
      <c r="E51" s="172">
        <f t="shared" si="20"/>
        <v>1.6637110159497124</v>
      </c>
      <c r="F51" s="172">
        <f t="shared" si="20"/>
        <v>1.6880698438220501</v>
      </c>
      <c r="H51" s="67">
        <f t="shared" si="21"/>
        <v>-4.424499061555518</v>
      </c>
      <c r="I51" s="68">
        <f t="shared" si="22"/>
        <v>37.789556204932303</v>
      </c>
      <c r="J51" s="68">
        <f t="shared" si="23"/>
        <v>33.365057143376788</v>
      </c>
      <c r="L51" t="str">
        <f t="shared" si="24"/>
        <v>31 Science, engineering and technology associate professionals</v>
      </c>
      <c r="M51" s="172">
        <f t="shared" ref="M51:Q51" si="44">M14/M$35*100</f>
        <v>2.1832419792283062</v>
      </c>
      <c r="N51" s="172">
        <f t="shared" si="44"/>
        <v>2.5958138990857424</v>
      </c>
      <c r="O51" s="172">
        <f t="shared" si="44"/>
        <v>2.7579462512089852</v>
      </c>
      <c r="P51" s="172">
        <f t="shared" si="44"/>
        <v>2.2026334989839418</v>
      </c>
      <c r="Q51" s="172">
        <f t="shared" si="44"/>
        <v>2.1423806319274337</v>
      </c>
      <c r="S51" s="67">
        <f t="shared" si="26"/>
        <v>-15.421162455949336</v>
      </c>
      <c r="T51" s="68">
        <f t="shared" si="27"/>
        <v>30.886259082146378</v>
      </c>
      <c r="U51" s="68">
        <f t="shared" si="28"/>
        <v>15.465096626197042</v>
      </c>
      <c r="W51" t="str">
        <f t="shared" si="29"/>
        <v>31 Science, engineering and technology associate professionals</v>
      </c>
      <c r="X51" s="172">
        <f t="shared" ref="X51:AB51" si="45">X14/X$35*100</f>
        <v>0.87413403501755294</v>
      </c>
      <c r="Y51" s="172">
        <f t="shared" si="45"/>
        <v>0.89294782788459948</v>
      </c>
      <c r="Z51" s="172">
        <f t="shared" si="45"/>
        <v>1.1189611808083102</v>
      </c>
      <c r="AA51" s="172">
        <f t="shared" si="45"/>
        <v>1.1117315422673786</v>
      </c>
      <c r="AB51" s="172">
        <f t="shared" si="45"/>
        <v>1.2315373929082092</v>
      </c>
      <c r="AD51" s="67">
        <f t="shared" si="31"/>
        <v>23.687578387799757</v>
      </c>
      <c r="AE51" s="68">
        <f t="shared" si="32"/>
        <v>55.437275009402455</v>
      </c>
      <c r="AF51" s="68">
        <f t="shared" si="33"/>
        <v>79.124853397202216</v>
      </c>
    </row>
    <row r="52" spans="1:32" x14ac:dyDescent="0.2">
      <c r="A52" t="str">
        <f t="shared" si="19"/>
        <v>32 Health and social care associate professionals</v>
      </c>
      <c r="B52" s="172">
        <f t="shared" si="20"/>
        <v>1.9413137606781963</v>
      </c>
      <c r="C52" s="172">
        <f t="shared" si="20"/>
        <v>1.9730065568290649</v>
      </c>
      <c r="D52" s="172">
        <f t="shared" si="20"/>
        <v>2.0102219432877724</v>
      </c>
      <c r="E52" s="172">
        <f t="shared" si="20"/>
        <v>2.0121838931368297</v>
      </c>
      <c r="F52" s="172">
        <f t="shared" si="20"/>
        <v>2.1714809266781741</v>
      </c>
      <c r="H52" s="67">
        <f t="shared" si="21"/>
        <v>19.471161462884513</v>
      </c>
      <c r="I52" s="68">
        <f t="shared" si="22"/>
        <v>62.068102213684959</v>
      </c>
      <c r="J52" s="68">
        <f t="shared" si="23"/>
        <v>81.539263676569476</v>
      </c>
      <c r="L52" t="str">
        <f t="shared" si="24"/>
        <v>32 Health and social care associate professionals</v>
      </c>
      <c r="M52" s="172">
        <f t="shared" ref="M52:Q52" si="46">M15/M$35*100</f>
        <v>0.867705346502883</v>
      </c>
      <c r="N52" s="172">
        <f t="shared" si="46"/>
        <v>0.78684957696948421</v>
      </c>
      <c r="O52" s="172">
        <f t="shared" si="46"/>
        <v>0.8983910892076965</v>
      </c>
      <c r="P52" s="172">
        <f t="shared" si="46"/>
        <v>0.83424771469697778</v>
      </c>
      <c r="Q52" s="172">
        <f t="shared" si="46"/>
        <v>0.88977002470158117</v>
      </c>
      <c r="S52" s="67">
        <f t="shared" si="26"/>
        <v>7.8358613411929969</v>
      </c>
      <c r="T52" s="68">
        <f t="shared" si="27"/>
        <v>48.647514720572502</v>
      </c>
      <c r="U52" s="68">
        <f t="shared" si="28"/>
        <v>56.483376061765497</v>
      </c>
      <c r="W52" t="str">
        <f t="shared" si="29"/>
        <v>32 Health and social care associate professionals</v>
      </c>
      <c r="X52" s="172">
        <f t="shared" ref="X52:AB52" si="47">X15/X$35*100</f>
        <v>3.12752112414088</v>
      </c>
      <c r="Y52" s="172">
        <f t="shared" si="47"/>
        <v>3.2223181688538238</v>
      </c>
      <c r="Z52" s="172">
        <f t="shared" si="47"/>
        <v>3.1634095144009389</v>
      </c>
      <c r="AA52" s="172">
        <f t="shared" si="47"/>
        <v>3.218659058444246</v>
      </c>
      <c r="AB52" s="172">
        <f t="shared" si="47"/>
        <v>3.4594596292808206</v>
      </c>
      <c r="AD52" s="67">
        <f t="shared" si="31"/>
        <v>22.898435573238608</v>
      </c>
      <c r="AE52" s="68">
        <f t="shared" si="32"/>
        <v>66.021247519764188</v>
      </c>
      <c r="AF52" s="68">
        <f t="shared" si="33"/>
        <v>88.919683093002817</v>
      </c>
    </row>
    <row r="53" spans="1:32" x14ac:dyDescent="0.2">
      <c r="A53" t="str">
        <f t="shared" si="19"/>
        <v>33 Protective service occupations</v>
      </c>
      <c r="B53" s="172">
        <f t="shared" si="20"/>
        <v>0.67137865141165165</v>
      </c>
      <c r="C53" s="172">
        <f t="shared" si="20"/>
        <v>0.66360318561098619</v>
      </c>
      <c r="D53" s="172">
        <f t="shared" si="20"/>
        <v>0.72355692985089748</v>
      </c>
      <c r="E53" s="172">
        <f t="shared" si="20"/>
        <v>0.84901180443952406</v>
      </c>
      <c r="F53" s="172">
        <f t="shared" si="20"/>
        <v>0.92470575217101036</v>
      </c>
      <c r="H53" s="67">
        <f t="shared" si="21"/>
        <v>41.345480959960106</v>
      </c>
      <c r="I53" s="68">
        <f t="shared" si="22"/>
        <v>42.624302584147578</v>
      </c>
      <c r="J53" s="68">
        <f t="shared" si="23"/>
        <v>83.969783544107685</v>
      </c>
      <c r="L53" t="str">
        <f t="shared" si="24"/>
        <v>33 Protective service occupations</v>
      </c>
      <c r="M53" s="172">
        <f t="shared" ref="M53:Q53" si="48">M16/M$35*100</f>
        <v>0.98389194300448168</v>
      </c>
      <c r="N53" s="172">
        <f t="shared" si="48"/>
        <v>0.96067982805284091</v>
      </c>
      <c r="O53" s="172">
        <f t="shared" si="48"/>
        <v>1.0431939603530949</v>
      </c>
      <c r="P53" s="172">
        <f t="shared" si="48"/>
        <v>1.1834003838884186</v>
      </c>
      <c r="Q53" s="172">
        <f t="shared" si="48"/>
        <v>1.2397246126262136</v>
      </c>
      <c r="S53" s="67">
        <f t="shared" si="26"/>
        <v>29.393075610022457</v>
      </c>
      <c r="T53" s="68">
        <f t="shared" si="27"/>
        <v>33.34417431551342</v>
      </c>
      <c r="U53" s="68">
        <f t="shared" si="28"/>
        <v>62.737249925535878</v>
      </c>
      <c r="W53" t="str">
        <f t="shared" si="29"/>
        <v>33 Protective service occupations</v>
      </c>
      <c r="X53" s="172">
        <f t="shared" ref="X53:AB53" si="49">X16/X$35*100</f>
        <v>0.32608928633888196</v>
      </c>
      <c r="Y53" s="172">
        <f t="shared" si="49"/>
        <v>0.35070927243950006</v>
      </c>
      <c r="Z53" s="172">
        <f t="shared" si="49"/>
        <v>0.3920303766076576</v>
      </c>
      <c r="AA53" s="172">
        <f t="shared" si="49"/>
        <v>0.50652167292675176</v>
      </c>
      <c r="AB53" s="172">
        <f t="shared" si="49"/>
        <v>0.608146391898153</v>
      </c>
      <c r="AD53" s="67">
        <f t="shared" si="31"/>
        <v>74.333929319932537</v>
      </c>
      <c r="AE53" s="68">
        <f t="shared" si="32"/>
        <v>68.237308769998293</v>
      </c>
      <c r="AF53" s="68">
        <f t="shared" si="33"/>
        <v>142.57123808993083</v>
      </c>
    </row>
    <row r="54" spans="1:32" x14ac:dyDescent="0.2">
      <c r="A54" t="str">
        <f t="shared" si="19"/>
        <v>34 Culture, media and sports occupations</v>
      </c>
      <c r="B54" s="172">
        <f t="shared" si="20"/>
        <v>2.0452983244130531</v>
      </c>
      <c r="C54" s="172">
        <f t="shared" si="20"/>
        <v>2.1147907012153677</v>
      </c>
      <c r="D54" s="172">
        <f t="shared" si="20"/>
        <v>2.1227375877842096</v>
      </c>
      <c r="E54" s="172">
        <f t="shared" si="20"/>
        <v>2.1380669331237412</v>
      </c>
      <c r="F54" s="172">
        <f t="shared" si="20"/>
        <v>2.3413230423782658</v>
      </c>
      <c r="H54" s="67">
        <f t="shared" si="21"/>
        <v>21.9877174823906</v>
      </c>
      <c r="I54" s="68">
        <f t="shared" si="22"/>
        <v>52.874194231734684</v>
      </c>
      <c r="J54" s="68">
        <f t="shared" si="23"/>
        <v>74.861911714125284</v>
      </c>
      <c r="L54" t="str">
        <f t="shared" si="24"/>
        <v>34 Culture, media and sports occupations</v>
      </c>
      <c r="M54" s="172">
        <f t="shared" ref="M54:Q54" si="50">M17/M$35*100</f>
        <v>1.9278134899761405</v>
      </c>
      <c r="N54" s="172">
        <f t="shared" si="50"/>
        <v>1.9199815409652328</v>
      </c>
      <c r="O54" s="172">
        <f t="shared" si="50"/>
        <v>1.7822289730656544</v>
      </c>
      <c r="P54" s="172">
        <f t="shared" si="50"/>
        <v>1.8045252050137901</v>
      </c>
      <c r="Q54" s="172">
        <f t="shared" si="50"/>
        <v>1.9929665638252978</v>
      </c>
      <c r="S54" s="67">
        <f t="shared" si="26"/>
        <v>21.75516386074791</v>
      </c>
      <c r="T54" s="68">
        <f t="shared" si="27"/>
        <v>44.475285183111083</v>
      </c>
      <c r="U54" s="68">
        <f t="shared" si="28"/>
        <v>66.230449043858997</v>
      </c>
      <c r="W54" t="str">
        <f t="shared" si="29"/>
        <v>34 Culture, media and sports occupations</v>
      </c>
      <c r="X54" s="172">
        <f t="shared" ref="X54:AB54" si="51">X17/X$35*100</f>
        <v>2.175104847782479</v>
      </c>
      <c r="Y54" s="172">
        <f t="shared" si="51"/>
        <v>2.3199720980808096</v>
      </c>
      <c r="Z54" s="172">
        <f t="shared" si="51"/>
        <v>2.4759120845248201</v>
      </c>
      <c r="AA54" s="172">
        <f t="shared" si="51"/>
        <v>2.4796896958198844</v>
      </c>
      <c r="AB54" s="172">
        <f t="shared" si="51"/>
        <v>2.6913830477959819</v>
      </c>
      <c r="AD54" s="67">
        <f t="shared" si="31"/>
        <v>22.161342626202089</v>
      </c>
      <c r="AE54" s="68">
        <f t="shared" si="32"/>
        <v>59.144841754367349</v>
      </c>
      <c r="AF54" s="68">
        <f t="shared" si="33"/>
        <v>81.306184380569434</v>
      </c>
    </row>
    <row r="55" spans="1:32" x14ac:dyDescent="0.2">
      <c r="A55" t="str">
        <f t="shared" si="19"/>
        <v>35 Business and public service associate professionals</v>
      </c>
      <c r="B55" s="172">
        <f t="shared" ref="B55:F64" si="52">B18/B$35*100</f>
        <v>5.5698601189052397</v>
      </c>
      <c r="C55" s="172">
        <f t="shared" si="52"/>
        <v>5.6946256656879006</v>
      </c>
      <c r="D55" s="172">
        <f t="shared" si="52"/>
        <v>6.0160842690006637</v>
      </c>
      <c r="E55" s="172">
        <f t="shared" si="52"/>
        <v>5.6277113146348885</v>
      </c>
      <c r="F55" s="172">
        <f t="shared" si="52"/>
        <v>5.5780463232133544</v>
      </c>
      <c r="H55" s="67">
        <f t="shared" si="21"/>
        <v>2.5461315662498896</v>
      </c>
      <c r="I55" s="68">
        <f t="shared" si="22"/>
        <v>45.651730376485553</v>
      </c>
      <c r="J55" s="68">
        <f t="shared" si="23"/>
        <v>48.197861942735436</v>
      </c>
      <c r="L55" t="str">
        <f t="shared" si="24"/>
        <v>35 Business and public service associate professionals</v>
      </c>
      <c r="M55" s="172">
        <f t="shared" ref="M55:Q55" si="53">M18/M$35*100</f>
        <v>5.8846485015547465</v>
      </c>
      <c r="N55" s="172">
        <f t="shared" si="53"/>
        <v>5.9426906900148264</v>
      </c>
      <c r="O55" s="172">
        <f t="shared" si="53"/>
        <v>6.2668112182203641</v>
      </c>
      <c r="P55" s="172">
        <f t="shared" si="53"/>
        <v>5.6631378875703682</v>
      </c>
      <c r="Q55" s="172">
        <f t="shared" si="53"/>
        <v>5.4062249774958184</v>
      </c>
      <c r="S55" s="67">
        <f t="shared" si="26"/>
        <v>-6.07128542356969</v>
      </c>
      <c r="T55" s="68">
        <f t="shared" si="27"/>
        <v>36.015361826772057</v>
      </c>
      <c r="U55" s="68">
        <f t="shared" si="28"/>
        <v>29.94407640320237</v>
      </c>
      <c r="W55" t="str">
        <f t="shared" si="29"/>
        <v>35 Business and public service associate professionals</v>
      </c>
      <c r="X55" s="172">
        <f t="shared" ref="X55:AB55" si="54">X18/X$35*100</f>
        <v>5.2220570535593165</v>
      </c>
      <c r="Y55" s="172">
        <f t="shared" si="54"/>
        <v>5.4333528993584919</v>
      </c>
      <c r="Z55" s="172">
        <f t="shared" si="54"/>
        <v>5.7560310419092726</v>
      </c>
      <c r="AA55" s="172">
        <f t="shared" si="54"/>
        <v>5.5914264282200614</v>
      </c>
      <c r="AB55" s="172">
        <f t="shared" si="54"/>
        <v>5.7507079067228686</v>
      </c>
      <c r="AD55" s="67">
        <f t="shared" si="31"/>
        <v>12.277229079229421</v>
      </c>
      <c r="AE55" s="68">
        <f t="shared" si="32"/>
        <v>56.533464675644097</v>
      </c>
      <c r="AF55" s="68">
        <f t="shared" si="33"/>
        <v>68.810693754873526</v>
      </c>
    </row>
    <row r="56" spans="1:32" x14ac:dyDescent="0.2">
      <c r="A56" t="str">
        <f t="shared" si="19"/>
        <v>41 Administrative occupations</v>
      </c>
      <c r="B56" s="172">
        <f t="shared" si="52"/>
        <v>8.1853803867733959</v>
      </c>
      <c r="C56" s="172">
        <f t="shared" si="52"/>
        <v>7.6967611162232732</v>
      </c>
      <c r="D56" s="172">
        <f t="shared" si="52"/>
        <v>8.2024243403853543</v>
      </c>
      <c r="E56" s="172">
        <f t="shared" si="52"/>
        <v>7.2650610157607751</v>
      </c>
      <c r="F56" s="172">
        <f t="shared" si="52"/>
        <v>6.4840035609087492</v>
      </c>
      <c r="H56" s="67">
        <f t="shared" si="21"/>
        <v>-12.57168916223225</v>
      </c>
      <c r="I56" s="68">
        <f t="shared" si="22"/>
        <v>46.274768328655007</v>
      </c>
      <c r="J56" s="68">
        <f t="shared" si="23"/>
        <v>33.703079166422754</v>
      </c>
      <c r="L56" t="str">
        <f t="shared" si="24"/>
        <v>41 Administrative occupations</v>
      </c>
      <c r="M56" s="172">
        <f t="shared" ref="M56:Q56" si="55">M19/M$35*100</f>
        <v>4.1339060467376783</v>
      </c>
      <c r="N56" s="172">
        <f t="shared" si="55"/>
        <v>3.6764091458096075</v>
      </c>
      <c r="O56" s="172">
        <f t="shared" si="55"/>
        <v>4.4856487730194825</v>
      </c>
      <c r="P56" s="172">
        <f t="shared" si="55"/>
        <v>4.0762514280178292</v>
      </c>
      <c r="Q56" s="172">
        <f t="shared" si="55"/>
        <v>4.091620485185457</v>
      </c>
      <c r="S56" s="67">
        <f t="shared" si="26"/>
        <v>-0.68360306799482118</v>
      </c>
      <c r="T56" s="68">
        <f t="shared" si="27"/>
        <v>35.715487226033979</v>
      </c>
      <c r="U56" s="68">
        <f t="shared" si="28"/>
        <v>35.031884158039155</v>
      </c>
      <c r="W56" t="str">
        <f t="shared" si="29"/>
        <v>41 Administrative occupations</v>
      </c>
      <c r="X56" s="172">
        <f t="shared" ref="X56:AB56" si="56">X19/X$35*100</f>
        <v>12.66176920002812</v>
      </c>
      <c r="Y56" s="172">
        <f t="shared" si="56"/>
        <v>11.931168944484766</v>
      </c>
      <c r="Z56" s="172">
        <f t="shared" si="56"/>
        <v>12.057452623846446</v>
      </c>
      <c r="AA56" s="172">
        <f t="shared" si="56"/>
        <v>10.531128944501697</v>
      </c>
      <c r="AB56" s="172">
        <f t="shared" si="56"/>
        <v>8.888085827234752</v>
      </c>
      <c r="AD56" s="67">
        <f t="shared" si="31"/>
        <v>-17.158838444258731</v>
      </c>
      <c r="AE56" s="68">
        <f t="shared" si="32"/>
        <v>50.349183532636928</v>
      </c>
      <c r="AF56" s="68">
        <f t="shared" si="33"/>
        <v>33.190345088378201</v>
      </c>
    </row>
    <row r="57" spans="1:32" x14ac:dyDescent="0.2">
      <c r="A57" t="str">
        <f t="shared" si="19"/>
        <v>42 Secretarial and related occupations</v>
      </c>
      <c r="B57" s="172">
        <f t="shared" si="52"/>
        <v>2.1142433728881533</v>
      </c>
      <c r="C57" s="172">
        <f t="shared" si="52"/>
        <v>1.8666060524984072</v>
      </c>
      <c r="D57" s="172">
        <f t="shared" si="52"/>
        <v>1.8447563687644082</v>
      </c>
      <c r="E57" s="172">
        <f t="shared" si="52"/>
        <v>1.8742493255932751</v>
      </c>
      <c r="F57" s="172">
        <f t="shared" si="52"/>
        <v>1.590759494716679</v>
      </c>
      <c r="H57" s="67">
        <f t="shared" si="21"/>
        <v>-4.6289461055427399</v>
      </c>
      <c r="I57" s="68">
        <f t="shared" si="22"/>
        <v>53.000937163716955</v>
      </c>
      <c r="J57" s="68">
        <f t="shared" si="23"/>
        <v>48.37199105817421</v>
      </c>
      <c r="L57" t="str">
        <f t="shared" si="24"/>
        <v>42 Secretarial and related occupations</v>
      </c>
      <c r="M57" s="172">
        <f t="shared" ref="M57:Q57" si="57">M20/M$35*100</f>
        <v>0.42393225141300289</v>
      </c>
      <c r="N57" s="172">
        <f t="shared" si="57"/>
        <v>0.31175060025348966</v>
      </c>
      <c r="O57" s="172">
        <f t="shared" si="57"/>
        <v>0.29528002314054858</v>
      </c>
      <c r="P57" s="172">
        <f t="shared" si="57"/>
        <v>0.40570996941372728</v>
      </c>
      <c r="Q57" s="172">
        <f t="shared" si="57"/>
        <v>0.48271973464676426</v>
      </c>
      <c r="S57" s="67">
        <f t="shared" si="26"/>
        <v>77.996664617272643</v>
      </c>
      <c r="T57" s="68">
        <f t="shared" si="27"/>
        <v>49.982829038557945</v>
      </c>
      <c r="U57" s="68">
        <f t="shared" si="28"/>
        <v>127.97949365583059</v>
      </c>
      <c r="W57" t="str">
        <f t="shared" si="29"/>
        <v>42 Secretarial and related occupations</v>
      </c>
      <c r="X57" s="172">
        <f t="shared" ref="X57:AB57" si="58">X20/X$35*100</f>
        <v>3.9818325910453805</v>
      </c>
      <c r="Y57" s="172">
        <f t="shared" si="58"/>
        <v>3.5042467733240308</v>
      </c>
      <c r="Z57" s="172">
        <f t="shared" si="58"/>
        <v>3.451868509024004</v>
      </c>
      <c r="AA57" s="172">
        <f t="shared" si="58"/>
        <v>3.3783683898823234</v>
      </c>
      <c r="AB57" s="172">
        <f t="shared" si="58"/>
        <v>2.7042177717791165</v>
      </c>
      <c r="AD57" s="67">
        <f t="shared" si="31"/>
        <v>-11.959819783453581</v>
      </c>
      <c r="AE57" s="68">
        <f t="shared" si="32"/>
        <v>53.268715752198915</v>
      </c>
      <c r="AF57" s="68">
        <f t="shared" si="33"/>
        <v>41.308895968745333</v>
      </c>
    </row>
    <row r="58" spans="1:32" x14ac:dyDescent="0.2">
      <c r="A58" t="str">
        <f t="shared" si="19"/>
        <v>51 Skilled agricultural and related trades</v>
      </c>
      <c r="B58" s="172">
        <f t="shared" si="52"/>
        <v>1.4576569263874424</v>
      </c>
      <c r="C58" s="172">
        <f t="shared" si="52"/>
        <v>1.3482478994894338</v>
      </c>
      <c r="D58" s="172">
        <f t="shared" si="52"/>
        <v>1.4810880907805235</v>
      </c>
      <c r="E58" s="172">
        <f t="shared" si="52"/>
        <v>1.4266774841999059</v>
      </c>
      <c r="F58" s="172">
        <f t="shared" si="52"/>
        <v>1.4665853653335492</v>
      </c>
      <c r="H58" s="67">
        <f t="shared" si="21"/>
        <v>9.5159899449054848</v>
      </c>
      <c r="I58" s="68">
        <f t="shared" si="22"/>
        <v>55.214153833736233</v>
      </c>
      <c r="J58" s="68">
        <f t="shared" si="23"/>
        <v>64.730143778641718</v>
      </c>
      <c r="L58" t="str">
        <f t="shared" si="24"/>
        <v>51 Skilled agricultural and related trades</v>
      </c>
      <c r="M58" s="172">
        <f t="shared" ref="M58:Q58" si="59">M21/M$35*100</f>
        <v>2.4999613286202576</v>
      </c>
      <c r="N58" s="172">
        <f t="shared" si="59"/>
        <v>2.3072315424819791</v>
      </c>
      <c r="O58" s="172">
        <f t="shared" si="59"/>
        <v>2.5386476668150313</v>
      </c>
      <c r="P58" s="172">
        <f t="shared" si="59"/>
        <v>2.442623809088019</v>
      </c>
      <c r="Q58" s="172">
        <f t="shared" si="59"/>
        <v>2.4655929817151927</v>
      </c>
      <c r="S58" s="67">
        <f t="shared" si="26"/>
        <v>5.7474324168279498</v>
      </c>
      <c r="T58" s="68">
        <f t="shared" si="27"/>
        <v>51.430125963098625</v>
      </c>
      <c r="U58" s="68">
        <f t="shared" si="28"/>
        <v>57.177558379926587</v>
      </c>
      <c r="W58" t="str">
        <f t="shared" si="29"/>
        <v>51 Skilled agricultural and related trades</v>
      </c>
      <c r="X58" s="172">
        <f t="shared" ref="X58:AB58" si="60">X21/X$35*100</f>
        <v>0.30603670753150397</v>
      </c>
      <c r="Y58" s="172">
        <f t="shared" si="60"/>
        <v>0.33820502887864196</v>
      </c>
      <c r="Z58" s="172">
        <f t="shared" si="60"/>
        <v>0.38419052374568208</v>
      </c>
      <c r="AA58" s="172">
        <f t="shared" si="60"/>
        <v>0.38611685562129627</v>
      </c>
      <c r="AB58" s="172">
        <f t="shared" si="60"/>
        <v>0.46269241907466579</v>
      </c>
      <c r="AD58" s="67">
        <f t="shared" si="31"/>
        <v>35.34407227846382</v>
      </c>
      <c r="AE58" s="68">
        <f t="shared" si="32"/>
        <v>81.148263282020011</v>
      </c>
      <c r="AF58" s="68">
        <f t="shared" si="33"/>
        <v>116.49233556048382</v>
      </c>
    </row>
    <row r="59" spans="1:32" x14ac:dyDescent="0.2">
      <c r="A59" t="str">
        <f t="shared" si="19"/>
        <v>52 Skilled metal, electrical and electronic trades</v>
      </c>
      <c r="B59" s="172">
        <f t="shared" si="52"/>
        <v>4.2509125929931262</v>
      </c>
      <c r="C59" s="172">
        <f t="shared" si="52"/>
        <v>3.9674019963482863</v>
      </c>
      <c r="D59" s="172">
        <f t="shared" si="52"/>
        <v>3.5972912953263152</v>
      </c>
      <c r="E59" s="172">
        <f t="shared" si="52"/>
        <v>3.4194975484634869</v>
      </c>
      <c r="F59" s="172">
        <f t="shared" si="52"/>
        <v>3.1276072581668717</v>
      </c>
      <c r="H59" s="67">
        <f t="shared" si="21"/>
        <v>-3.841499652105357</v>
      </c>
      <c r="I59" s="68">
        <f t="shared" si="22"/>
        <v>37.886574467855525</v>
      </c>
      <c r="J59" s="68">
        <f t="shared" si="23"/>
        <v>34.045074815750162</v>
      </c>
      <c r="L59" t="str">
        <f t="shared" si="24"/>
        <v>52 Skilled metal, electrical and electronic trades</v>
      </c>
      <c r="M59" s="172">
        <f t="shared" ref="M59:Q59" si="61">M22/M$35*100</f>
        <v>7.9538870125674483</v>
      </c>
      <c r="N59" s="172">
        <f t="shared" si="61"/>
        <v>7.4929055557189859</v>
      </c>
      <c r="O59" s="172">
        <f t="shared" si="61"/>
        <v>6.8711026548985421</v>
      </c>
      <c r="P59" s="172">
        <f t="shared" si="61"/>
        <v>6.3398155156785689</v>
      </c>
      <c r="Q59" s="172">
        <f t="shared" si="61"/>
        <v>5.6771707933302276</v>
      </c>
      <c r="S59" s="67">
        <f t="shared" si="26"/>
        <v>-10.038559825433801</v>
      </c>
      <c r="T59" s="68">
        <f t="shared" si="27"/>
        <v>35.019061419443844</v>
      </c>
      <c r="U59" s="68">
        <f t="shared" si="28"/>
        <v>24.980501594010043</v>
      </c>
      <c r="W59" t="str">
        <f t="shared" si="29"/>
        <v>52 Skilled metal, electrical and electronic trades</v>
      </c>
      <c r="X59" s="172">
        <f t="shared" ref="X59:AB59" si="62">X22/X$35*100</f>
        <v>0.15957401440429508</v>
      </c>
      <c r="Y59" s="172">
        <f t="shared" si="62"/>
        <v>0.25418982482115915</v>
      </c>
      <c r="Z59" s="172">
        <f t="shared" si="62"/>
        <v>0.20170413728555245</v>
      </c>
      <c r="AA59" s="172">
        <f t="shared" si="62"/>
        <v>0.42842624363901355</v>
      </c>
      <c r="AB59" s="172">
        <f t="shared" si="62"/>
        <v>0.56557589121925311</v>
      </c>
      <c r="AD59" s="67">
        <f t="shared" si="31"/>
        <v>215.11536969143484</v>
      </c>
      <c r="AE59" s="68">
        <f t="shared" si="32"/>
        <v>139.20262793853897</v>
      </c>
      <c r="AF59" s="68">
        <f t="shared" si="33"/>
        <v>354.31799762997383</v>
      </c>
    </row>
    <row r="60" spans="1:32" x14ac:dyDescent="0.2">
      <c r="A60" t="str">
        <f t="shared" si="19"/>
        <v>53 Skilled construction and building trades</v>
      </c>
      <c r="B60" s="172">
        <f t="shared" si="52"/>
        <v>3.9642428575601185</v>
      </c>
      <c r="C60" s="172">
        <f t="shared" si="52"/>
        <v>3.9139791863894637</v>
      </c>
      <c r="D60" s="172">
        <f t="shared" si="52"/>
        <v>3.2016141689020299</v>
      </c>
      <c r="E60" s="172">
        <f t="shared" si="52"/>
        <v>3.3574982558797353</v>
      </c>
      <c r="F60" s="172">
        <f t="shared" si="52"/>
        <v>3.1902835560356815</v>
      </c>
      <c r="H60" s="67">
        <f t="shared" si="21"/>
        <v>10.207555172311238</v>
      </c>
      <c r="I60" s="68">
        <f t="shared" si="22"/>
        <v>46.275716834984443</v>
      </c>
      <c r="J60" s="68">
        <f t="shared" si="23"/>
        <v>56.483272007295682</v>
      </c>
      <c r="L60" t="str">
        <f t="shared" si="24"/>
        <v>53 Skilled construction and building trades</v>
      </c>
      <c r="M60" s="172">
        <f t="shared" ref="M60:Q60" si="63">M23/M$35*100</f>
        <v>7.4507368861064736</v>
      </c>
      <c r="N60" s="172">
        <f t="shared" si="63"/>
        <v>7.5052774952168821</v>
      </c>
      <c r="O60" s="172">
        <f t="shared" si="63"/>
        <v>6.1365377140370612</v>
      </c>
      <c r="P60" s="172">
        <f t="shared" si="63"/>
        <v>6.4696645318282755</v>
      </c>
      <c r="Q60" s="172">
        <f t="shared" si="63"/>
        <v>6.1736861607672875</v>
      </c>
      <c r="S60" s="67">
        <f t="shared" si="26"/>
        <v>9.5398185511760509</v>
      </c>
      <c r="T60" s="68">
        <f t="shared" si="27"/>
        <v>45.825743264671395</v>
      </c>
      <c r="U60" s="68">
        <f t="shared" si="28"/>
        <v>55.365561815847443</v>
      </c>
      <c r="W60" t="str">
        <f t="shared" si="29"/>
        <v>53 Skilled construction and building trades</v>
      </c>
      <c r="X60" s="172">
        <f t="shared" ref="X60:AB60" si="64">X23/X$35*100</f>
        <v>0.11208891136811014</v>
      </c>
      <c r="Y60" s="172">
        <f t="shared" si="64"/>
        <v>0.1314691513398682</v>
      </c>
      <c r="Z60" s="172">
        <f t="shared" si="64"/>
        <v>0.15752041849297893</v>
      </c>
      <c r="AA60" s="172">
        <f t="shared" si="64"/>
        <v>0.16993054978188568</v>
      </c>
      <c r="AB60" s="172">
        <f t="shared" si="64"/>
        <v>0.19229156715753676</v>
      </c>
      <c r="AD60" s="67">
        <f t="shared" si="31"/>
        <v>37.188240511916206</v>
      </c>
      <c r="AE60" s="68">
        <f t="shared" si="32"/>
        <v>64.457429395719288</v>
      </c>
      <c r="AF60" s="68">
        <f t="shared" si="33"/>
        <v>101.64566990763551</v>
      </c>
    </row>
    <row r="61" spans="1:32" x14ac:dyDescent="0.2">
      <c r="A61" t="str">
        <f t="shared" si="19"/>
        <v>54 Textiles, printing and other skilled trades</v>
      </c>
      <c r="B61" s="172">
        <f t="shared" si="52"/>
        <v>2.1072111847134893</v>
      </c>
      <c r="C61" s="172">
        <f t="shared" si="52"/>
        <v>1.9240572144864392</v>
      </c>
      <c r="D61" s="172">
        <f t="shared" si="52"/>
        <v>1.8925387826180609</v>
      </c>
      <c r="E61" s="172">
        <f t="shared" si="52"/>
        <v>1.8393271814881915</v>
      </c>
      <c r="F61" s="172">
        <f t="shared" si="52"/>
        <v>1.67484628799318</v>
      </c>
      <c r="H61" s="67">
        <f t="shared" si="21"/>
        <v>-2.1228661942231466</v>
      </c>
      <c r="I61" s="68">
        <f t="shared" si="22"/>
        <v>44.438252637126361</v>
      </c>
      <c r="J61" s="68">
        <f t="shared" si="23"/>
        <v>42.315386442903211</v>
      </c>
      <c r="L61" t="str">
        <f t="shared" si="24"/>
        <v>54 Textiles, printing and other skilled trades</v>
      </c>
      <c r="M61" s="172">
        <f t="shared" ref="M61:Q61" si="65">M24/M$35*100</f>
        <v>2.4012482641623372</v>
      </c>
      <c r="N61" s="172">
        <f t="shared" si="65"/>
        <v>2.2005792068435919</v>
      </c>
      <c r="O61" s="172">
        <f t="shared" si="65"/>
        <v>2.0116193382516236</v>
      </c>
      <c r="P61" s="172">
        <f t="shared" si="65"/>
        <v>1.9229219331536911</v>
      </c>
      <c r="Q61" s="172">
        <f t="shared" si="65"/>
        <v>1.7328769289734309</v>
      </c>
      <c r="S61" s="67">
        <f t="shared" si="26"/>
        <v>-6.2064887859801674</v>
      </c>
      <c r="T61" s="68">
        <f t="shared" si="27"/>
        <v>30.717820629652515</v>
      </c>
      <c r="U61" s="68">
        <f t="shared" si="28"/>
        <v>24.511331843672345</v>
      </c>
      <c r="W61" t="str">
        <f t="shared" si="29"/>
        <v>54 Textiles, printing and other skilled trades</v>
      </c>
      <c r="X61" s="172">
        <f t="shared" ref="X61:AB61" si="66">X24/X$35*100</f>
        <v>1.7823357979634662</v>
      </c>
      <c r="Y61" s="172">
        <f t="shared" si="66"/>
        <v>1.6328123439525917</v>
      </c>
      <c r="Z61" s="172">
        <f t="shared" si="66"/>
        <v>1.7690287934736408</v>
      </c>
      <c r="AA61" s="172">
        <f t="shared" si="66"/>
        <v>1.753707099788987</v>
      </c>
      <c r="AB61" s="172">
        <f t="shared" si="66"/>
        <v>1.6165318665696922</v>
      </c>
      <c r="AD61" s="67">
        <f t="shared" si="31"/>
        <v>2.6934803673496233</v>
      </c>
      <c r="AE61" s="68">
        <f t="shared" si="32"/>
        <v>60.620540308833057</v>
      </c>
      <c r="AF61" s="68">
        <f t="shared" si="33"/>
        <v>63.314020676182693</v>
      </c>
    </row>
    <row r="62" spans="1:32" x14ac:dyDescent="0.2">
      <c r="A62" t="str">
        <f t="shared" si="19"/>
        <v>61 Caring personal service occupations</v>
      </c>
      <c r="B62" s="172">
        <f t="shared" si="52"/>
        <v>8.0327077156079874</v>
      </c>
      <c r="C62" s="172">
        <f t="shared" si="52"/>
        <v>7.5562334381404748</v>
      </c>
      <c r="D62" s="172">
        <f t="shared" si="52"/>
        <v>7.2962486182365769</v>
      </c>
      <c r="E62" s="172">
        <f t="shared" si="52"/>
        <v>7.6947834830275941</v>
      </c>
      <c r="F62" s="172">
        <f t="shared" si="52"/>
        <v>8.0667609073095257</v>
      </c>
      <c r="H62" s="67">
        <f t="shared" si="21"/>
        <v>22.278650475738107</v>
      </c>
      <c r="I62" s="68">
        <f t="shared" si="22"/>
        <v>63.590797979253431</v>
      </c>
      <c r="J62" s="68">
        <f t="shared" si="23"/>
        <v>85.869448454991542</v>
      </c>
      <c r="L62" t="str">
        <f t="shared" si="24"/>
        <v>61 Caring personal service occupations</v>
      </c>
      <c r="M62" s="172">
        <f t="shared" ref="M62:Q62" si="67">M25/M$35*100</f>
        <v>1.5610313424903524</v>
      </c>
      <c r="N62" s="172">
        <f t="shared" si="67"/>
        <v>1.4317402871405014</v>
      </c>
      <c r="O62" s="172">
        <f t="shared" si="67"/>
        <v>1.4543347937043962</v>
      </c>
      <c r="P62" s="172">
        <f t="shared" si="67"/>
        <v>1.7632273565236505</v>
      </c>
      <c r="Q62" s="172">
        <f t="shared" si="67"/>
        <v>2.0337213491464654</v>
      </c>
      <c r="S62" s="67">
        <f t="shared" si="26"/>
        <v>52.257231884673637</v>
      </c>
      <c r="T62" s="68">
        <f t="shared" si="27"/>
        <v>58.310534689211522</v>
      </c>
      <c r="U62" s="68">
        <f t="shared" si="28"/>
        <v>110.56776657388517</v>
      </c>
      <c r="W62" t="str">
        <f t="shared" si="29"/>
        <v>61 Caring personal service occupations</v>
      </c>
      <c r="X62" s="172">
        <f t="shared" ref="X62:AB62" si="68">X25/X$35*100</f>
        <v>15.18312686879289</v>
      </c>
      <c r="Y62" s="172">
        <f t="shared" si="68"/>
        <v>14.006813370837223</v>
      </c>
      <c r="Z62" s="172">
        <f t="shared" si="68"/>
        <v>13.355463821019123</v>
      </c>
      <c r="AA62" s="172">
        <f t="shared" si="68"/>
        <v>13.770049095237907</v>
      </c>
      <c r="AB62" s="172">
        <f t="shared" si="68"/>
        <v>14.129303131839372</v>
      </c>
      <c r="AD62" s="67">
        <f t="shared" si="31"/>
        <v>18.892722400982976</v>
      </c>
      <c r="AE62" s="68">
        <f t="shared" si="32"/>
        <v>64.187176822934205</v>
      </c>
      <c r="AF62" s="68">
        <f t="shared" si="33"/>
        <v>83.079899223917181</v>
      </c>
    </row>
    <row r="63" spans="1:32" x14ac:dyDescent="0.2">
      <c r="A63" t="str">
        <f t="shared" si="19"/>
        <v>62 Leisure, travel and related personal service occupations</v>
      </c>
      <c r="B63" s="172">
        <f t="shared" si="52"/>
        <v>2.1792394353801772</v>
      </c>
      <c r="C63" s="172">
        <f t="shared" si="52"/>
        <v>2.3195368645937773</v>
      </c>
      <c r="D63" s="172">
        <f t="shared" si="52"/>
        <v>2.0732579631822099</v>
      </c>
      <c r="E63" s="172">
        <f t="shared" si="52"/>
        <v>2.1624892697933911</v>
      </c>
      <c r="F63" s="172">
        <f t="shared" si="52"/>
        <v>2.2405315507822277</v>
      </c>
      <c r="H63" s="67">
        <f t="shared" si="21"/>
        <v>19.522260401601198</v>
      </c>
      <c r="I63" s="68">
        <f t="shared" si="22"/>
        <v>57.22334311756785</v>
      </c>
      <c r="J63" s="68">
        <f t="shared" si="23"/>
        <v>76.745603519169052</v>
      </c>
      <c r="L63" t="str">
        <f t="shared" si="24"/>
        <v>62 Leisure, travel and related personal service occupations</v>
      </c>
      <c r="M63" s="172">
        <f t="shared" ref="M63:Q63" si="69">M26/M$35*100</f>
        <v>1.1072811899313575</v>
      </c>
      <c r="N63" s="172">
        <f t="shared" si="69"/>
        <v>1.2608743027736953</v>
      </c>
      <c r="O63" s="172">
        <f t="shared" si="69"/>
        <v>1.2656008299384303</v>
      </c>
      <c r="P63" s="172">
        <f t="shared" si="69"/>
        <v>1.3163909121447592</v>
      </c>
      <c r="Q63" s="172">
        <f t="shared" si="69"/>
        <v>1.4269841172044071</v>
      </c>
      <c r="S63" s="67">
        <f t="shared" si="26"/>
        <v>22.764631586241727</v>
      </c>
      <c r="T63" s="68">
        <f t="shared" si="27"/>
        <v>48.845808031529018</v>
      </c>
      <c r="U63" s="68">
        <f t="shared" si="28"/>
        <v>71.610439617770737</v>
      </c>
      <c r="W63" t="str">
        <f t="shared" si="29"/>
        <v>62 Leisure, travel and related personal service occupations</v>
      </c>
      <c r="X63" s="172">
        <f t="shared" ref="X63:AB63" si="70">X26/X$35*100</f>
        <v>3.3636235621128976</v>
      </c>
      <c r="Y63" s="172">
        <f t="shared" si="70"/>
        <v>3.4345658651011863</v>
      </c>
      <c r="Z63" s="172">
        <f t="shared" si="70"/>
        <v>2.910957478679316</v>
      </c>
      <c r="AA63" s="172">
        <f t="shared" si="70"/>
        <v>3.0290868619163196</v>
      </c>
      <c r="AB63" s="172">
        <f t="shared" si="70"/>
        <v>3.0580573800385422</v>
      </c>
      <c r="AD63" s="67">
        <f t="shared" si="31"/>
        <v>18.060134227683172</v>
      </c>
      <c r="AE63" s="68">
        <f t="shared" si="32"/>
        <v>61.001138016634258</v>
      </c>
      <c r="AF63" s="68">
        <f t="shared" si="33"/>
        <v>79.061272244317436</v>
      </c>
    </row>
    <row r="64" spans="1:32" x14ac:dyDescent="0.2">
      <c r="A64" t="str">
        <f t="shared" si="19"/>
        <v>63 Community and civil enforcement occupations</v>
      </c>
      <c r="B64" s="172">
        <f t="shared" si="52"/>
        <v>8.2089152515046226E-2</v>
      </c>
      <c r="C64" s="172">
        <f t="shared" si="52"/>
        <v>6.4409680700082309E-2</v>
      </c>
      <c r="D64" s="172">
        <f t="shared" si="52"/>
        <v>8.8663882646521058E-2</v>
      </c>
      <c r="E64" s="172">
        <f t="shared" si="52"/>
        <v>6.5192054078031428E-2</v>
      </c>
      <c r="F64" s="172">
        <f t="shared" si="52"/>
        <v>6.4868304153982051E-2</v>
      </c>
      <c r="H64" s="67">
        <f t="shared" si="21"/>
        <v>-19.083539922899224</v>
      </c>
      <c r="I64" s="68">
        <f t="shared" si="22"/>
        <v>36.975336322983964</v>
      </c>
      <c r="J64" s="68">
        <f t="shared" si="23"/>
        <v>17.891796400084743</v>
      </c>
      <c r="L64" t="str">
        <f t="shared" si="24"/>
        <v>63 Community and civil enforcement occupations</v>
      </c>
      <c r="M64" s="172">
        <f t="shared" ref="M64:Q64" si="71">M27/M$35*100</f>
        <v>0.12457277166791419</v>
      </c>
      <c r="N64" s="172">
        <f t="shared" si="71"/>
        <v>8.6398534038018615E-2</v>
      </c>
      <c r="O64" s="172">
        <f t="shared" si="71"/>
        <v>0.13867303482710358</v>
      </c>
      <c r="P64" s="172">
        <f t="shared" si="71"/>
        <v>8.4516863602239797E-2</v>
      </c>
      <c r="Q64" s="172">
        <f t="shared" si="71"/>
        <v>8.8966923765788311E-2</v>
      </c>
      <c r="S64" s="67">
        <f t="shared" si="26"/>
        <v>-30.146619143676844</v>
      </c>
      <c r="T64" s="68">
        <f t="shared" si="27"/>
        <v>26.854839188604178</v>
      </c>
      <c r="U64" s="68">
        <f t="shared" si="28"/>
        <v>-3.2917799550726627</v>
      </c>
      <c r="W64" t="str">
        <f t="shared" si="29"/>
        <v>63 Community and civil enforcement occupations</v>
      </c>
      <c r="X64" s="172">
        <f t="shared" ref="X64:AB64" si="72">X27/X$35*100</f>
        <v>3.5149894960524668E-2</v>
      </c>
      <c r="Y64" s="172">
        <f t="shared" si="72"/>
        <v>4.1250073433390301E-2</v>
      </c>
      <c r="Z64" s="172">
        <f t="shared" si="72"/>
        <v>3.6794542517198381E-2</v>
      </c>
      <c r="AA64" s="172">
        <f t="shared" si="72"/>
        <v>4.5399043903121987E-2</v>
      </c>
      <c r="AB64" s="172">
        <f t="shared" si="72"/>
        <v>4.0651837886695907E-2</v>
      </c>
      <c r="AD64" s="67">
        <f t="shared" si="31"/>
        <v>24.162452313526504</v>
      </c>
      <c r="AE64" s="68">
        <f t="shared" si="32"/>
        <v>76.536739777472491</v>
      </c>
      <c r="AF64" s="68">
        <f t="shared" si="33"/>
        <v>100.69919209099901</v>
      </c>
    </row>
    <row r="65" spans="1:32" x14ac:dyDescent="0.2">
      <c r="A65" t="str">
        <f t="shared" si="19"/>
        <v>71 Sales occupations</v>
      </c>
      <c r="B65" s="172">
        <f t="shared" ref="B65:F70" si="73">B28/B$35*100</f>
        <v>7.6419710895420243</v>
      </c>
      <c r="C65" s="172">
        <f t="shared" si="73"/>
        <v>6.9435578337074269</v>
      </c>
      <c r="D65" s="172">
        <f t="shared" si="73"/>
        <v>7.0220296029739782</v>
      </c>
      <c r="E65" s="172">
        <f t="shared" si="73"/>
        <v>6.3276984606585849</v>
      </c>
      <c r="F65" s="172">
        <f t="shared" si="73"/>
        <v>5.6634522115753265</v>
      </c>
      <c r="H65" s="67">
        <f t="shared" si="21"/>
        <v>-10.799012888763588</v>
      </c>
      <c r="I65" s="68">
        <f t="shared" si="22"/>
        <v>43.254127703313323</v>
      </c>
      <c r="J65" s="68">
        <f t="shared" si="23"/>
        <v>32.455114814549738</v>
      </c>
      <c r="L65" t="str">
        <f t="shared" si="24"/>
        <v>71 Sales occupations</v>
      </c>
      <c r="M65" s="172">
        <f t="shared" ref="M65:Q65" si="74">M28/M$35*100</f>
        <v>5.4575242651931513</v>
      </c>
      <c r="N65" s="172">
        <f t="shared" si="74"/>
        <v>5.22815887199285</v>
      </c>
      <c r="O65" s="172">
        <f t="shared" si="74"/>
        <v>5.3497250351472632</v>
      </c>
      <c r="P65" s="172">
        <f t="shared" si="74"/>
        <v>4.9044099064175368</v>
      </c>
      <c r="Q65" s="172">
        <f t="shared" si="74"/>
        <v>4.6121892676843528</v>
      </c>
      <c r="S65" s="67">
        <f t="shared" si="26"/>
        <v>-6.130060788685177</v>
      </c>
      <c r="T65" s="68">
        <f t="shared" si="27"/>
        <v>31.83985807073887</v>
      </c>
      <c r="U65" s="68">
        <f t="shared" si="28"/>
        <v>25.709797282053692</v>
      </c>
      <c r="W65" t="str">
        <f t="shared" si="29"/>
        <v>71 Sales occupations</v>
      </c>
      <c r="X65" s="172">
        <f t="shared" ref="X65:AB65" si="75">X28/X$35*100</f>
        <v>10.055520456259446</v>
      </c>
      <c r="Y65" s="172">
        <f t="shared" si="75"/>
        <v>8.7502898923755694</v>
      </c>
      <c r="Z65" s="172">
        <f t="shared" si="75"/>
        <v>8.7565388007144396</v>
      </c>
      <c r="AA65" s="172">
        <f t="shared" si="75"/>
        <v>7.7854703885336871</v>
      </c>
      <c r="AB65" s="172">
        <f t="shared" si="75"/>
        <v>6.7198560234480773</v>
      </c>
      <c r="AD65" s="67">
        <f t="shared" si="31"/>
        <v>-13.757567797617421</v>
      </c>
      <c r="AE65" s="68">
        <f t="shared" si="32"/>
        <v>50.486959124280396</v>
      </c>
      <c r="AF65" s="68">
        <f t="shared" si="33"/>
        <v>36.729391326662977</v>
      </c>
    </row>
    <row r="66" spans="1:32" x14ac:dyDescent="0.2">
      <c r="A66" t="str">
        <f t="shared" si="19"/>
        <v>72 Customer service occupations</v>
      </c>
      <c r="B66" s="172">
        <f t="shared" si="73"/>
        <v>1.4727841816036995</v>
      </c>
      <c r="C66" s="172">
        <f t="shared" si="73"/>
        <v>1.5404677989646658</v>
      </c>
      <c r="D66" s="172">
        <f t="shared" si="73"/>
        <v>1.6286624362297304</v>
      </c>
      <c r="E66" s="172">
        <f t="shared" si="73"/>
        <v>2.020432588012687</v>
      </c>
      <c r="F66" s="172">
        <f t="shared" si="73"/>
        <v>2.1896416733523556</v>
      </c>
      <c r="H66" s="67">
        <f t="shared" si="21"/>
        <v>48.693863641066095</v>
      </c>
      <c r="I66" s="68">
        <f t="shared" si="22"/>
        <v>61.374611182982377</v>
      </c>
      <c r="J66" s="68">
        <f t="shared" si="23"/>
        <v>110.06847482404847</v>
      </c>
      <c r="L66" t="str">
        <f t="shared" si="24"/>
        <v>72 Customer service occupations</v>
      </c>
      <c r="M66" s="172">
        <f t="shared" ref="M66:Q66" si="76">M29/M$35*100</f>
        <v>1.0940046584714995</v>
      </c>
      <c r="N66" s="172">
        <f t="shared" si="76"/>
        <v>0.97617133170271253</v>
      </c>
      <c r="O66" s="172">
        <f t="shared" si="76"/>
        <v>1.1797199672793086</v>
      </c>
      <c r="P66" s="172">
        <f t="shared" si="76"/>
        <v>1.5711573411888613</v>
      </c>
      <c r="Q66" s="172">
        <f t="shared" si="76"/>
        <v>1.7856918772619386</v>
      </c>
      <c r="S66" s="67">
        <f t="shared" si="26"/>
        <v>64.808068461348284</v>
      </c>
      <c r="T66" s="68">
        <f t="shared" si="27"/>
        <v>49.770034526599929</v>
      </c>
      <c r="U66" s="68">
        <f t="shared" si="28"/>
        <v>114.5781029879482</v>
      </c>
      <c r="W66" t="str">
        <f t="shared" si="29"/>
        <v>72 Customer service occupations</v>
      </c>
      <c r="X66" s="172">
        <f t="shared" ref="X66:AB66" si="77">X29/X$35*100</f>
        <v>1.8912897126109571</v>
      </c>
      <c r="Y66" s="172">
        <f t="shared" si="77"/>
        <v>2.1348091392300654</v>
      </c>
      <c r="Z66" s="172">
        <f t="shared" si="77"/>
        <v>2.0943041958900563</v>
      </c>
      <c r="AA66" s="172">
        <f t="shared" si="77"/>
        <v>2.4805928561167012</v>
      </c>
      <c r="AB66" s="172">
        <f t="shared" si="77"/>
        <v>2.5955668577935476</v>
      </c>
      <c r="AD66" s="67">
        <f t="shared" si="31"/>
        <v>39.279103112831606</v>
      </c>
      <c r="AE66" s="68">
        <f t="shared" si="32"/>
        <v>68.154611280403316</v>
      </c>
      <c r="AF66" s="68">
        <f t="shared" si="33"/>
        <v>107.43371439323491</v>
      </c>
    </row>
    <row r="67" spans="1:32" x14ac:dyDescent="0.2">
      <c r="A67" t="str">
        <f t="shared" si="19"/>
        <v>81 Process, plant and machine operatives</v>
      </c>
      <c r="B67" s="172">
        <f t="shared" si="73"/>
        <v>2.6218608566143802</v>
      </c>
      <c r="C67" s="172">
        <f t="shared" si="73"/>
        <v>2.3976308424061736</v>
      </c>
      <c r="D67" s="172">
        <f t="shared" si="73"/>
        <v>2.1362096007285429</v>
      </c>
      <c r="E67" s="172">
        <f t="shared" si="73"/>
        <v>2.4776588953467771</v>
      </c>
      <c r="F67" s="172">
        <f t="shared" si="73"/>
        <v>2.3260259836047363</v>
      </c>
      <c r="H67" s="67">
        <f t="shared" si="21"/>
        <v>20.426419832785701</v>
      </c>
      <c r="I67" s="68">
        <f t="shared" si="22"/>
        <v>45.733296277996821</v>
      </c>
      <c r="J67" s="68">
        <f t="shared" si="23"/>
        <v>66.159716110782512</v>
      </c>
      <c r="L67" t="str">
        <f t="shared" si="24"/>
        <v>81 Process, plant and machine operatives</v>
      </c>
      <c r="M67" s="172">
        <f t="shared" ref="M67:Q67" si="78">M30/M$35*100</f>
        <v>3.975767746994431</v>
      </c>
      <c r="N67" s="172">
        <f t="shared" si="78"/>
        <v>3.6232750670090201</v>
      </c>
      <c r="O67" s="172">
        <f t="shared" si="78"/>
        <v>3.2582819458106074</v>
      </c>
      <c r="P67" s="172">
        <f t="shared" si="78"/>
        <v>3.7185025795316622</v>
      </c>
      <c r="Q67" s="172">
        <f t="shared" si="78"/>
        <v>3.3971818377855065</v>
      </c>
      <c r="S67" s="67">
        <f t="shared" si="26"/>
        <v>13.522254671455302</v>
      </c>
      <c r="T67" s="68">
        <f t="shared" si="27"/>
        <v>40.601899746697391</v>
      </c>
      <c r="U67" s="68">
        <f t="shared" si="28"/>
        <v>54.124154418152692</v>
      </c>
      <c r="W67" t="str">
        <f t="shared" si="29"/>
        <v>81 Process, plant and machine operatives</v>
      </c>
      <c r="X67" s="172">
        <f t="shared" ref="X67:AB67" si="79">X30/X$35*100</f>
        <v>1.1259576002624416</v>
      </c>
      <c r="Y67" s="172">
        <f t="shared" si="79"/>
        <v>1.1067295637333476</v>
      </c>
      <c r="Z67" s="172">
        <f t="shared" si="79"/>
        <v>0.97239958638148416</v>
      </c>
      <c r="AA67" s="172">
        <f t="shared" si="79"/>
        <v>1.2067521039614983</v>
      </c>
      <c r="AB67" s="172">
        <f t="shared" si="79"/>
        <v>1.2496319814741477</v>
      </c>
      <c r="AD67" s="67">
        <f t="shared" si="31"/>
        <v>44.421173716863862</v>
      </c>
      <c r="AE67" s="68">
        <f t="shared" si="32"/>
        <v>63.566965370932849</v>
      </c>
      <c r="AF67" s="68">
        <f t="shared" si="33"/>
        <v>107.9881390877967</v>
      </c>
    </row>
    <row r="68" spans="1:32" x14ac:dyDescent="0.2">
      <c r="A68" t="str">
        <f t="shared" si="19"/>
        <v>82 Transport and mobile machine drivers and operatives</v>
      </c>
      <c r="B68" s="172">
        <f t="shared" si="73"/>
        <v>3.038460992620704</v>
      </c>
      <c r="C68" s="172">
        <f t="shared" si="73"/>
        <v>3.083312280953439</v>
      </c>
      <c r="D68" s="172">
        <f t="shared" si="73"/>
        <v>2.8042738875307731</v>
      </c>
      <c r="E68" s="172">
        <f t="shared" si="73"/>
        <v>2.8724288858969027</v>
      </c>
      <c r="F68" s="172">
        <f t="shared" si="73"/>
        <v>2.7820303302794911</v>
      </c>
      <c r="H68" s="67">
        <f t="shared" si="21"/>
        <v>9.721695130617416</v>
      </c>
      <c r="I68" s="68">
        <f t="shared" si="22"/>
        <v>56.876930749614459</v>
      </c>
      <c r="J68" s="68">
        <f t="shared" si="23"/>
        <v>66.598625880231879</v>
      </c>
      <c r="L68" t="str">
        <f t="shared" si="24"/>
        <v>82 Transport and mobile machine drivers and operatives</v>
      </c>
      <c r="M68" s="172">
        <f t="shared" ref="M68:Q68" si="80">M31/M$35*100</f>
        <v>5.3457966844133775</v>
      </c>
      <c r="N68" s="172">
        <f t="shared" si="80"/>
        <v>5.5096911158565591</v>
      </c>
      <c r="O68" s="172">
        <f t="shared" si="80"/>
        <v>5.0460653621894007</v>
      </c>
      <c r="P68" s="172">
        <f t="shared" si="80"/>
        <v>5.0582498030038172</v>
      </c>
      <c r="Q68" s="172">
        <f t="shared" si="80"/>
        <v>4.8697926102299807</v>
      </c>
      <c r="S68" s="67">
        <f t="shared" si="26"/>
        <v>5.0771950523107741</v>
      </c>
      <c r="T68" s="68">
        <f t="shared" si="27"/>
        <v>53.860676833245726</v>
      </c>
      <c r="U68" s="68">
        <f t="shared" si="28"/>
        <v>58.93787188555649</v>
      </c>
      <c r="W68" t="str">
        <f t="shared" si="29"/>
        <v>82 Transport and mobile machine drivers and operatives</v>
      </c>
      <c r="X68" s="172">
        <f t="shared" ref="X68:AB68" si="81">X31/X$35*100</f>
        <v>0.489134300088097</v>
      </c>
      <c r="Y68" s="172">
        <f t="shared" si="81"/>
        <v>0.52774560210253529</v>
      </c>
      <c r="Z68" s="172">
        <f t="shared" si="81"/>
        <v>0.47909460678238802</v>
      </c>
      <c r="AA68" s="172">
        <f t="shared" si="81"/>
        <v>0.63364999399477062</v>
      </c>
      <c r="AB68" s="172">
        <f t="shared" si="81"/>
        <v>0.68405851110672733</v>
      </c>
      <c r="AD68" s="67">
        <f t="shared" si="31"/>
        <v>60.459514191586784</v>
      </c>
      <c r="AE68" s="68">
        <f t="shared" si="32"/>
        <v>89.827332917861781</v>
      </c>
      <c r="AF68" s="68">
        <f t="shared" si="33"/>
        <v>150.28684710944859</v>
      </c>
    </row>
    <row r="69" spans="1:32" x14ac:dyDescent="0.2">
      <c r="A69" t="str">
        <f t="shared" si="19"/>
        <v>91 Elementary trades and related occupations</v>
      </c>
      <c r="B69" s="172">
        <f t="shared" si="73"/>
        <v>1.8318712120620479</v>
      </c>
      <c r="C69" s="172">
        <f t="shared" si="73"/>
        <v>1.545777287777675</v>
      </c>
      <c r="D69" s="172">
        <f t="shared" si="73"/>
        <v>1.4053078402198049</v>
      </c>
      <c r="E69" s="172">
        <f t="shared" si="73"/>
        <v>1.1928433489474846</v>
      </c>
      <c r="F69" s="172">
        <f t="shared" si="73"/>
        <v>1.1191703611794568</v>
      </c>
      <c r="H69" s="67">
        <f t="shared" si="21"/>
        <v>-11.920303969518493</v>
      </c>
      <c r="I69" s="68">
        <f t="shared" si="22"/>
        <v>34.953027472363452</v>
      </c>
      <c r="J69" s="68">
        <f t="shared" si="23"/>
        <v>23.032723502844959</v>
      </c>
      <c r="L69" t="str">
        <f t="shared" si="24"/>
        <v>91 Elementary trades and related occupations</v>
      </c>
      <c r="M69" s="172">
        <f t="shared" ref="M69:Q70" si="82">M32/M$35*100</f>
        <v>2.5941374652212614</v>
      </c>
      <c r="N69" s="172">
        <f t="shared" si="82"/>
        <v>2.2394036205760166</v>
      </c>
      <c r="O69" s="172">
        <f t="shared" si="82"/>
        <v>2.0802732668056314</v>
      </c>
      <c r="P69" s="172">
        <f t="shared" si="82"/>
        <v>1.7481169535807282</v>
      </c>
      <c r="Q69" s="172">
        <f t="shared" si="82"/>
        <v>1.6538391086238187</v>
      </c>
      <c r="S69" s="67">
        <f t="shared" si="26"/>
        <v>-13.438704818823236</v>
      </c>
      <c r="T69" s="68">
        <f t="shared" si="27"/>
        <v>28.383166339083154</v>
      </c>
      <c r="U69" s="68">
        <f t="shared" si="28"/>
        <v>14.944461520259921</v>
      </c>
      <c r="W69" t="str">
        <f t="shared" si="29"/>
        <v>91 Elementary trades and related occupations</v>
      </c>
      <c r="X69" s="172">
        <f t="shared" ref="X69:AB70" si="83">X32/X$35*100</f>
        <v>0.98965925612172267</v>
      </c>
      <c r="Y69" s="172">
        <f t="shared" si="83"/>
        <v>0.81522016364921757</v>
      </c>
      <c r="Z69" s="172">
        <f t="shared" si="83"/>
        <v>0.70523575819984663</v>
      </c>
      <c r="AA69" s="172">
        <f t="shared" si="83"/>
        <v>0.62411659939808783</v>
      </c>
      <c r="AB69" s="172">
        <f t="shared" si="83"/>
        <v>0.58188698581487253</v>
      </c>
      <c r="AD69" s="67">
        <f t="shared" si="31"/>
        <v>-7.274790404089881</v>
      </c>
      <c r="AE69" s="68">
        <f t="shared" si="32"/>
        <v>55.053371219935975</v>
      </c>
      <c r="AF69" s="68">
        <f t="shared" si="33"/>
        <v>47.778580815846098</v>
      </c>
    </row>
    <row r="70" spans="1:32" x14ac:dyDescent="0.2">
      <c r="A70" t="str">
        <f t="shared" si="19"/>
        <v>92 Elementary administration and service occupations</v>
      </c>
      <c r="B70" s="172">
        <f t="shared" si="73"/>
        <v>9.5075329140494613</v>
      </c>
      <c r="C70" s="172">
        <f t="shared" si="73"/>
        <v>9.1838312935840634</v>
      </c>
      <c r="D70" s="172">
        <f t="shared" si="73"/>
        <v>8.7086452670062826</v>
      </c>
      <c r="E70" s="172">
        <f t="shared" si="73"/>
        <v>8.8407254799882438</v>
      </c>
      <c r="F70" s="172">
        <f t="shared" si="73"/>
        <v>8.1354274254043393</v>
      </c>
      <c r="H70" s="67">
        <f t="shared" si="21"/>
        <v>3.3191562006019062</v>
      </c>
      <c r="I70" s="68">
        <f t="shared" si="22"/>
        <v>50.19384070367375</v>
      </c>
      <c r="J70" s="68">
        <f t="shared" si="23"/>
        <v>53.512996904275667</v>
      </c>
      <c r="L70" t="str">
        <f t="shared" si="24"/>
        <v>92 Elementary administration and service occupations</v>
      </c>
      <c r="M70" s="172">
        <f t="shared" si="82"/>
        <v>9.1274817830893316</v>
      </c>
      <c r="N70" s="172">
        <f t="shared" si="82"/>
        <v>8.1589737850603132</v>
      </c>
      <c r="O70" s="172">
        <f t="shared" si="82"/>
        <v>8.3621369092904789</v>
      </c>
      <c r="P70" s="172">
        <f t="shared" si="82"/>
        <v>8.8021443937871044</v>
      </c>
      <c r="Q70" s="172">
        <f t="shared" si="82"/>
        <v>7.9883367924931514</v>
      </c>
      <c r="S70" s="67">
        <f t="shared" si="26"/>
        <v>4.0135620297737722</v>
      </c>
      <c r="T70" s="68">
        <f t="shared" si="27"/>
        <v>41.651337163816422</v>
      </c>
      <c r="U70" s="68">
        <f t="shared" si="28"/>
        <v>45.664899193590195</v>
      </c>
      <c r="W70" t="str">
        <f t="shared" si="29"/>
        <v>92 Elementary administration and service occupations</v>
      </c>
      <c r="X70" s="172">
        <f t="shared" si="83"/>
        <v>9.9274434178093429</v>
      </c>
      <c r="Y70" s="172">
        <f t="shared" si="83"/>
        <v>10.263255356173975</v>
      </c>
      <c r="Z70" s="172">
        <f t="shared" si="83"/>
        <v>9.068042678886286</v>
      </c>
      <c r="AA70" s="172">
        <f t="shared" si="83"/>
        <v>8.8802413070799382</v>
      </c>
      <c r="AB70" s="172">
        <f t="shared" si="83"/>
        <v>8.2832373584007861</v>
      </c>
      <c r="AD70" s="67">
        <f t="shared" si="31"/>
        <v>2.6549876499256375</v>
      </c>
      <c r="AE70" s="68">
        <f t="shared" si="32"/>
        <v>58.364368595098057</v>
      </c>
      <c r="AF70" s="68">
        <f t="shared" si="33"/>
        <v>61.019356245023694</v>
      </c>
    </row>
    <row r="71" spans="1:32" x14ac:dyDescent="0.2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10.598968387052537</v>
      </c>
      <c r="I72" s="66">
        <f>IF(D35&gt;0,I35/D35*100,0)</f>
        <v>51.158414611444812</v>
      </c>
      <c r="J72" s="66">
        <f>IF(D35&gt;0,(J35/D35)*100,0)</f>
        <v>61.757382998497377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8.8806930290291124</v>
      </c>
      <c r="T72" s="66">
        <f t="shared" ref="T72" si="85">IF(O35&gt;0,T35/O35*100,0)</f>
        <v>42.317507510353366</v>
      </c>
      <c r="U72" s="66">
        <f t="shared" ref="U72" si="86">IF(O35&gt;0,(U35/O35)*100,0)</f>
        <v>51.198200539382434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12.381158348188627</v>
      </c>
      <c r="AE72" s="66">
        <f t="shared" ref="AE72" si="88">IF(Z35&gt;0,AE35/Z35*100,0)</f>
        <v>60.328176494676832</v>
      </c>
      <c r="AF72" s="66">
        <f t="shared" ref="AF72" si="89">IF(Z35&gt;0,(AF35/Z35)*100,0)</f>
        <v>72.709334842865488</v>
      </c>
    </row>
    <row r="73" spans="1:32" x14ac:dyDescent="0.2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2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75" x14ac:dyDescent="0.25">
      <c r="A75" s="18" t="str">
        <f>CONCATENATE(A$1," (Continued)")</f>
        <v>Occupation Table 2  Employment Change by Occupation (SOC 2020) and Replacement Demand, 2015-2035, South West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South West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South West (Continued)</v>
      </c>
      <c r="X75" s="17"/>
      <c r="Y75" s="17"/>
      <c r="Z75" s="17"/>
      <c r="AA75" s="17"/>
      <c r="AB75" s="17"/>
    </row>
    <row r="77" spans="1:32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2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2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4.6209697378339687</v>
      </c>
      <c r="C82" s="17">
        <f t="shared" si="96"/>
        <v>3.1959741468900793</v>
      </c>
      <c r="D82" s="17">
        <f t="shared" si="96"/>
        <v>-1.2600954734232284</v>
      </c>
      <c r="E82" s="17">
        <f t="shared" si="96"/>
        <v>1.0033350309739175</v>
      </c>
      <c r="F82" s="17">
        <f t="shared" ref="F82:F107" si="97">IF(AND(F$6-D$6 &lt;&gt; 0,D8&lt;&gt;0,F8&lt;&gt;0),(EXP(LN(F8/D8)/(F$6-D$6))-1)*100,0)</f>
        <v>0.24315115938382537</v>
      </c>
      <c r="H82" s="17">
        <f t="shared" ref="H82:H107" si="98">IF($F$6-$D$6 &lt;&gt; 0,(EXP(LN(1+(H45/100))/($F$6-$D$6))-1)*100,0)</f>
        <v>0.24315115938382537</v>
      </c>
      <c r="I82" s="17">
        <f t="shared" ref="I82:I107" si="99">IF(D8&gt;0,((1+(I8/D8))^(1/($F$6-$D$6))-1)*100,0)</f>
        <v>2.7249518007222751</v>
      </c>
      <c r="J82" s="17">
        <f t="shared" ref="J82:J107" si="100">IF($F$6-$D$6 &lt;&gt; 0,(EXP(LN(1+(J45/100))/($F$6-$D$6))-1)*100,0)</f>
        <v>2.8927729528923418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3.2729716997243585</v>
      </c>
      <c r="N82" s="17">
        <f t="shared" si="102"/>
        <v>1.2433631133434986</v>
      </c>
      <c r="O82" s="17">
        <f t="shared" si="102"/>
        <v>-1.7823629863407797</v>
      </c>
      <c r="P82" s="17">
        <f t="shared" si="102"/>
        <v>0.62896025261427457</v>
      </c>
      <c r="Q82" s="17">
        <f t="shared" ref="Q82:Q107" si="103">IF(AND(Q$6-O$6 &lt;&gt; 0,O8&lt;&gt;0,Q8&lt;&gt;0),(EXP(LN(Q8/O8)/(Q$6-O$6))-1)*100,0)</f>
        <v>-0.18132117138545123</v>
      </c>
      <c r="S82" s="17">
        <f t="shared" ref="S82:S107" si="104">IF($F$6-$D$6 &lt;&gt; 0,(EXP(LN(1+(S45/100))/($F$6-$D$6))-1)*100,0)</f>
        <v>-0.18132117138545123</v>
      </c>
      <c r="T82" s="17">
        <f t="shared" ref="T82:T107" si="105">IF(O8&gt;0,((1+(T8/O8))^(1/($F$6-$D$6))-1)*100,0)</f>
        <v>2.4475968207780419</v>
      </c>
      <c r="U82" s="17">
        <f t="shared" ref="U82:U107" si="106">IF($F$6-$D$6 &lt;&gt; 0,(EXP(LN(1+(U45/100))/($F$6-$D$6))-1)*100,0)</f>
        <v>2.3188500939974821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7.8255094465223385</v>
      </c>
      <c r="Y82" s="17">
        <f t="shared" si="108"/>
        <v>7.3652095447838128</v>
      </c>
      <c r="Z82" s="17">
        <f t="shared" si="108"/>
        <v>-0.24085510362500395</v>
      </c>
      <c r="AA82" s="17">
        <f t="shared" si="108"/>
        <v>1.669045718716422</v>
      </c>
      <c r="AB82" s="17">
        <f t="shared" ref="AB82:AB107" si="109">IF(AND(AB$6-Z$6 &lt;&gt; 0,Z8&lt;&gt;0,AB8&lt;&gt;0),(EXP(LN(AB8/Z8)/(AB$6-Z$6))-1)*100,0)</f>
        <v>1.0283834912734102</v>
      </c>
      <c r="AD82" s="17">
        <f t="shared" ref="AD82:AD107" si="110">IF($F$6-$D$6 &lt;&gt; 0,(EXP(LN(1+(AD45/100))/($F$6-$D$6))-1)*100,0)</f>
        <v>1.0283834912734102</v>
      </c>
      <c r="AE82" s="17">
        <f t="shared" ref="AE82:AE107" si="111">IF(Z8&gt;0,((1+(AE8/Z8))^(1/($F$6-$D$6))-1)*100,0)</f>
        <v>3.2534963155314678</v>
      </c>
      <c r="AF82" s="17">
        <f t="shared" ref="AF82:AF107" si="112">IF($F$6-$D$6 &lt;&gt; 0,(EXP(LN(1+(AF45/100))/($F$6-$D$6))-1)*100,0)</f>
        <v>3.9280974421566528</v>
      </c>
    </row>
    <row r="83" spans="1:32" x14ac:dyDescent="0.2">
      <c r="A83" t="str">
        <f t="shared" si="95"/>
        <v>12 Other managers and proprietors</v>
      </c>
      <c r="B83" s="17">
        <f t="shared" si="96"/>
        <v>2.5775217920961824</v>
      </c>
      <c r="C83" s="17">
        <f t="shared" si="96"/>
        <v>1.5143276084207402</v>
      </c>
      <c r="D83" s="17">
        <f t="shared" si="96"/>
        <v>4.3921277154516325</v>
      </c>
      <c r="E83" s="17">
        <f t="shared" si="96"/>
        <v>1.3957972708860789</v>
      </c>
      <c r="F83" s="17">
        <f t="shared" si="97"/>
        <v>2.3848942571800036</v>
      </c>
      <c r="H83" s="17">
        <f t="shared" si="98"/>
        <v>2.3848942571800036</v>
      </c>
      <c r="I83" s="17">
        <f t="shared" si="99"/>
        <v>3.6948699546108354</v>
      </c>
      <c r="J83" s="17">
        <f t="shared" si="100"/>
        <v>5.2270355283890346</v>
      </c>
      <c r="K83" s="39"/>
      <c r="L83" t="str">
        <f t="shared" si="101"/>
        <v>12 Other managers and proprietors</v>
      </c>
      <c r="M83" s="17">
        <f t="shared" si="102"/>
        <v>2.4674524308053725</v>
      </c>
      <c r="N83" s="17">
        <f t="shared" si="102"/>
        <v>-3.1454629451589389</v>
      </c>
      <c r="O83" s="17">
        <f t="shared" si="102"/>
        <v>5.0680700200196771</v>
      </c>
      <c r="P83" s="17">
        <f t="shared" si="102"/>
        <v>1.5942420550852709</v>
      </c>
      <c r="Q83" s="17">
        <f t="shared" si="103"/>
        <v>2.7392319392846254</v>
      </c>
      <c r="S83" s="17">
        <f t="shared" si="104"/>
        <v>2.7392319392846254</v>
      </c>
      <c r="T83" s="17">
        <f t="shared" si="105"/>
        <v>3.5153015958844236</v>
      </c>
      <c r="U83" s="17">
        <f t="shared" si="106"/>
        <v>5.3293124907626499</v>
      </c>
      <c r="W83" t="str">
        <f t="shared" si="107"/>
        <v>12 Other managers and proprietors</v>
      </c>
      <c r="X83" s="17">
        <f t="shared" si="108"/>
        <v>2.7524737116532361</v>
      </c>
      <c r="Y83" s="17">
        <f t="shared" si="108"/>
        <v>8.8696763575324855</v>
      </c>
      <c r="Z83" s="17">
        <f t="shared" si="108"/>
        <v>3.4123312636361147</v>
      </c>
      <c r="AA83" s="17">
        <f t="shared" si="108"/>
        <v>1.0872302371846443</v>
      </c>
      <c r="AB83" s="17">
        <f t="shared" si="109"/>
        <v>1.8563965314799313</v>
      </c>
      <c r="AD83" s="17">
        <f t="shared" si="110"/>
        <v>1.8563965314799313</v>
      </c>
      <c r="AE83" s="17">
        <f t="shared" si="111"/>
        <v>3.9399032078050622</v>
      </c>
      <c r="AF83" s="17">
        <f t="shared" si="112"/>
        <v>5.081020174850126</v>
      </c>
    </row>
    <row r="84" spans="1:32" x14ac:dyDescent="0.2">
      <c r="A84" t="str">
        <f t="shared" si="95"/>
        <v>21 Science, research, engineering and technology professionals</v>
      </c>
      <c r="B84" s="17">
        <f t="shared" si="96"/>
        <v>3.5397027457729324</v>
      </c>
      <c r="C84" s="17">
        <f t="shared" si="96"/>
        <v>3.2132799399875678</v>
      </c>
      <c r="D84" s="17">
        <f t="shared" si="96"/>
        <v>1.3100235502196522</v>
      </c>
      <c r="E84" s="17">
        <f t="shared" si="96"/>
        <v>1.1694300060461904</v>
      </c>
      <c r="F84" s="17">
        <f t="shared" si="97"/>
        <v>1.2162728285591395</v>
      </c>
      <c r="H84" s="17">
        <f t="shared" si="98"/>
        <v>1.2162728285591395</v>
      </c>
      <c r="I84" s="17">
        <f t="shared" si="99"/>
        <v>2.3108088902378032</v>
      </c>
      <c r="J84" s="17">
        <f t="shared" si="100"/>
        <v>3.2152964388101113</v>
      </c>
      <c r="K84" s="39"/>
      <c r="L84" t="str">
        <f t="shared" si="101"/>
        <v>21 Science, research, engineering and technology professionals</v>
      </c>
      <c r="M84" s="17">
        <f t="shared" si="102"/>
        <v>3.5375482816582204</v>
      </c>
      <c r="N84" s="17">
        <f t="shared" si="102"/>
        <v>-0.81331923966498909</v>
      </c>
      <c r="O84" s="17">
        <f t="shared" si="102"/>
        <v>0.5895913650556972</v>
      </c>
      <c r="P84" s="17">
        <f t="shared" si="102"/>
        <v>0.93002696747621627</v>
      </c>
      <c r="Q84" s="17">
        <f t="shared" si="103"/>
        <v>0.81642060653195347</v>
      </c>
      <c r="S84" s="17">
        <f t="shared" si="104"/>
        <v>0.81642060653195347</v>
      </c>
      <c r="T84" s="17">
        <f t="shared" si="105"/>
        <v>1.9951937230426875</v>
      </c>
      <c r="U84" s="17">
        <f t="shared" si="106"/>
        <v>2.6232101286327136</v>
      </c>
      <c r="W84" t="str">
        <f t="shared" si="107"/>
        <v>21 Science, research, engineering and technology professionals</v>
      </c>
      <c r="X84" s="17">
        <f t="shared" si="108"/>
        <v>3.5494693549152689</v>
      </c>
      <c r="Y84" s="17">
        <f t="shared" si="108"/>
        <v>21.461392199730199</v>
      </c>
      <c r="Z84" s="17">
        <f t="shared" si="108"/>
        <v>3.8118856849271632</v>
      </c>
      <c r="AA84" s="17">
        <f t="shared" si="108"/>
        <v>1.894348493186282</v>
      </c>
      <c r="AB84" s="17">
        <f t="shared" si="109"/>
        <v>2.5295594138221134</v>
      </c>
      <c r="AD84" s="17">
        <f t="shared" si="110"/>
        <v>2.5295594138221134</v>
      </c>
      <c r="AE84" s="17">
        <f t="shared" si="111"/>
        <v>3.3731465165281582</v>
      </c>
      <c r="AF84" s="17">
        <f t="shared" si="112"/>
        <v>5.0685727918980295</v>
      </c>
    </row>
    <row r="85" spans="1:32" x14ac:dyDescent="0.2">
      <c r="A85" t="str">
        <f t="shared" si="95"/>
        <v>22 Health professionals</v>
      </c>
      <c r="B85" s="17">
        <f t="shared" si="96"/>
        <v>2.7608044769757756</v>
      </c>
      <c r="C85" s="17">
        <f t="shared" si="96"/>
        <v>-0.91038975420649759</v>
      </c>
      <c r="D85" s="17">
        <f t="shared" si="96"/>
        <v>2.2414785222081068</v>
      </c>
      <c r="E85" s="17">
        <f t="shared" si="96"/>
        <v>1.4736126246968073</v>
      </c>
      <c r="F85" s="17">
        <f t="shared" si="97"/>
        <v>1.7289250071525819</v>
      </c>
      <c r="H85" s="17">
        <f t="shared" si="98"/>
        <v>1.7289250071525819</v>
      </c>
      <c r="I85" s="17">
        <f t="shared" si="99"/>
        <v>3.2468830299690943</v>
      </c>
      <c r="J85" s="17">
        <f t="shared" si="100"/>
        <v>4.4016299060470221</v>
      </c>
      <c r="K85" s="39"/>
      <c r="L85" t="str">
        <f t="shared" si="101"/>
        <v>22 Health professionals</v>
      </c>
      <c r="M85" s="17">
        <f t="shared" si="102"/>
        <v>1.5422100532094696</v>
      </c>
      <c r="N85" s="17">
        <f t="shared" si="102"/>
        <v>11.114553277975503</v>
      </c>
      <c r="O85" s="17">
        <f t="shared" si="102"/>
        <v>2.2566099437057341</v>
      </c>
      <c r="P85" s="17">
        <f t="shared" si="102"/>
        <v>1.5712558072562555</v>
      </c>
      <c r="Q85" s="17">
        <f t="shared" si="103"/>
        <v>1.7991952768021013</v>
      </c>
      <c r="S85" s="17">
        <f t="shared" si="104"/>
        <v>1.7991952768021013</v>
      </c>
      <c r="T85" s="17">
        <f t="shared" si="105"/>
        <v>2.5028962926222809</v>
      </c>
      <c r="U85" s="17">
        <f t="shared" si="106"/>
        <v>3.8232708205023558</v>
      </c>
      <c r="W85" t="str">
        <f t="shared" si="107"/>
        <v>22 Health professionals</v>
      </c>
      <c r="X85" s="17">
        <f t="shared" si="108"/>
        <v>3.1960963498754102</v>
      </c>
      <c r="Y85" s="17">
        <f t="shared" si="108"/>
        <v>-5.0354374834218563</v>
      </c>
      <c r="Z85" s="17">
        <f t="shared" si="108"/>
        <v>2.2354025578341208</v>
      </c>
      <c r="AA85" s="17">
        <f t="shared" si="108"/>
        <v>1.4341406333093554</v>
      </c>
      <c r="AB85" s="17">
        <f t="shared" si="109"/>
        <v>1.700527741224156</v>
      </c>
      <c r="AD85" s="17">
        <f t="shared" si="110"/>
        <v>1.700527741224156</v>
      </c>
      <c r="AE85" s="17">
        <f t="shared" si="111"/>
        <v>3.525573731495002</v>
      </c>
      <c r="AF85" s="17">
        <f t="shared" si="112"/>
        <v>4.6217047449173876</v>
      </c>
    </row>
    <row r="86" spans="1:32" x14ac:dyDescent="0.2">
      <c r="A86" t="str">
        <f t="shared" si="95"/>
        <v>23 Teaching and other educational professionals</v>
      </c>
      <c r="B86" s="17">
        <f t="shared" si="96"/>
        <v>2.5756150710480874</v>
      </c>
      <c r="C86" s="17">
        <f t="shared" si="96"/>
        <v>0.7365826746829951</v>
      </c>
      <c r="D86" s="17">
        <f t="shared" si="96"/>
        <v>1.1306736530380501</v>
      </c>
      <c r="E86" s="17">
        <f t="shared" si="96"/>
        <v>1.034479573143865</v>
      </c>
      <c r="F86" s="17">
        <f t="shared" si="97"/>
        <v>1.0665340956459879</v>
      </c>
      <c r="H86" s="17">
        <f t="shared" si="98"/>
        <v>1.0665340956459879</v>
      </c>
      <c r="I86" s="17">
        <f t="shared" si="99"/>
        <v>2.9882109563878378</v>
      </c>
      <c r="J86" s="17">
        <f t="shared" si="100"/>
        <v>3.7128832160028047</v>
      </c>
      <c r="K86" s="39"/>
      <c r="L86" t="str">
        <f t="shared" si="101"/>
        <v>23 Teaching and other educational professionals</v>
      </c>
      <c r="M86" s="17">
        <f t="shared" si="102"/>
        <v>1.3202953628958403</v>
      </c>
      <c r="N86" s="17">
        <f t="shared" si="102"/>
        <v>-6.1512461794049784</v>
      </c>
      <c r="O86" s="17">
        <f t="shared" si="102"/>
        <v>1.835304613577815</v>
      </c>
      <c r="P86" s="17">
        <f t="shared" si="102"/>
        <v>0.94997706467971899</v>
      </c>
      <c r="Q86" s="17">
        <f t="shared" si="103"/>
        <v>1.2442277276131897</v>
      </c>
      <c r="S86" s="17">
        <f t="shared" si="104"/>
        <v>1.2442277276131897</v>
      </c>
      <c r="T86" s="17">
        <f t="shared" si="105"/>
        <v>2.6194182599010851</v>
      </c>
      <c r="U86" s="17">
        <f t="shared" si="106"/>
        <v>3.5093280139124383</v>
      </c>
      <c r="W86" t="str">
        <f t="shared" si="107"/>
        <v>23 Teaching and other educational professionals</v>
      </c>
      <c r="X86" s="17">
        <f t="shared" si="108"/>
        <v>3.2543127144508022</v>
      </c>
      <c r="Y86" s="17">
        <f t="shared" si="108"/>
        <v>4.288359007334086</v>
      </c>
      <c r="Z86" s="17">
        <f t="shared" si="108"/>
        <v>0.79691223822910828</v>
      </c>
      <c r="AA86" s="17">
        <f t="shared" si="108"/>
        <v>1.0755239055250332</v>
      </c>
      <c r="AB86" s="17">
        <f t="shared" si="109"/>
        <v>0.98256788720547661</v>
      </c>
      <c r="AD86" s="17">
        <f t="shared" si="110"/>
        <v>0.98256788720547661</v>
      </c>
      <c r="AE86" s="17">
        <f t="shared" si="111"/>
        <v>3.1532574221283083</v>
      </c>
      <c r="AF86" s="17">
        <f t="shared" si="112"/>
        <v>3.8054734559403558</v>
      </c>
    </row>
    <row r="87" spans="1:32" x14ac:dyDescent="0.2">
      <c r="A87" t="str">
        <f t="shared" si="95"/>
        <v>24 Business, media and public service professionals</v>
      </c>
      <c r="B87" s="17">
        <f t="shared" si="96"/>
        <v>4.0717709865307539</v>
      </c>
      <c r="C87" s="17">
        <f t="shared" si="96"/>
        <v>8.5193091973091661</v>
      </c>
      <c r="D87" s="17">
        <f t="shared" si="96"/>
        <v>2.5466938762353841</v>
      </c>
      <c r="E87" s="17">
        <f t="shared" si="96"/>
        <v>1.3141769228915967</v>
      </c>
      <c r="F87" s="17">
        <f t="shared" si="97"/>
        <v>1.7233610838155</v>
      </c>
      <c r="H87" s="17">
        <f t="shared" si="98"/>
        <v>1.7233610838155</v>
      </c>
      <c r="I87" s="17">
        <f t="shared" si="99"/>
        <v>2.9857169110691029</v>
      </c>
      <c r="J87" s="17">
        <f t="shared" si="100"/>
        <v>4.1747494105273342</v>
      </c>
      <c r="K87" s="39"/>
      <c r="L87" t="str">
        <f t="shared" si="101"/>
        <v>24 Business, media and public service professionals</v>
      </c>
      <c r="M87" s="17">
        <f t="shared" si="102"/>
        <v>2.6394599951904185</v>
      </c>
      <c r="N87" s="17">
        <f t="shared" si="102"/>
        <v>5.2534264489279225</v>
      </c>
      <c r="O87" s="17">
        <f t="shared" si="102"/>
        <v>2.6192738498369339</v>
      </c>
      <c r="P87" s="17">
        <f t="shared" si="102"/>
        <v>1.0710772821341363</v>
      </c>
      <c r="Q87" s="17">
        <f t="shared" si="103"/>
        <v>1.5845299888600284</v>
      </c>
      <c r="S87" s="17">
        <f t="shared" si="104"/>
        <v>1.5845299888600284</v>
      </c>
      <c r="T87" s="17">
        <f t="shared" si="105"/>
        <v>2.673748156780098</v>
      </c>
      <c r="U87" s="17">
        <f t="shared" si="106"/>
        <v>3.8071879993021973</v>
      </c>
      <c r="W87" t="str">
        <f t="shared" si="107"/>
        <v>24 Business, media and public service professionals</v>
      </c>
      <c r="X87" s="17">
        <f t="shared" si="108"/>
        <v>6.2428076416017886</v>
      </c>
      <c r="Y87" s="17">
        <f t="shared" si="108"/>
        <v>13.061140903864676</v>
      </c>
      <c r="Z87" s="17">
        <f t="shared" si="108"/>
        <v>2.4524217284492833</v>
      </c>
      <c r="AA87" s="17">
        <f t="shared" si="108"/>
        <v>1.6237810936657882</v>
      </c>
      <c r="AB87" s="17">
        <f t="shared" si="109"/>
        <v>1.8992472724007614</v>
      </c>
      <c r="AD87" s="17">
        <f t="shared" si="110"/>
        <v>1.8992472724007614</v>
      </c>
      <c r="AE87" s="17">
        <f t="shared" si="111"/>
        <v>3.3709050695804432</v>
      </c>
      <c r="AF87" s="17">
        <f t="shared" si="112"/>
        <v>4.6251488104468663</v>
      </c>
    </row>
    <row r="88" spans="1:32" x14ac:dyDescent="0.2">
      <c r="A88" t="str">
        <f t="shared" si="95"/>
        <v>31 Science, engineering and technology associate professionals</v>
      </c>
      <c r="B88" s="17">
        <f t="shared" si="96"/>
        <v>4.4298901775038591</v>
      </c>
      <c r="C88" s="17">
        <f t="shared" si="96"/>
        <v>9.3696609476614725</v>
      </c>
      <c r="D88" s="17">
        <f t="shared" si="96"/>
        <v>-2.3209524416663907</v>
      </c>
      <c r="E88" s="17">
        <f t="shared" si="96"/>
        <v>0.72422863400629645</v>
      </c>
      <c r="F88" s="17">
        <f t="shared" si="97"/>
        <v>-0.30123647041889745</v>
      </c>
      <c r="H88" s="17">
        <f t="shared" si="98"/>
        <v>-0.30123647041889745</v>
      </c>
      <c r="I88" s="17">
        <f t="shared" si="99"/>
        <v>2.1600476349179942</v>
      </c>
      <c r="J88" s="17">
        <f t="shared" si="100"/>
        <v>1.9380066770461779</v>
      </c>
      <c r="K88" s="39"/>
      <c r="L88" t="str">
        <f t="shared" si="101"/>
        <v>31 Science, engineering and technology associate professionals</v>
      </c>
      <c r="M88" s="17">
        <f t="shared" si="102"/>
        <v>5.1268682577666258</v>
      </c>
      <c r="N88" s="17">
        <f t="shared" si="102"/>
        <v>4.2936512940298988</v>
      </c>
      <c r="O88" s="17">
        <f t="shared" si="102"/>
        <v>-3.6885534381788876</v>
      </c>
      <c r="P88" s="17">
        <f t="shared" si="102"/>
        <v>0.20449836813818401</v>
      </c>
      <c r="Q88" s="17">
        <f t="shared" si="103"/>
        <v>-1.1103634353014424</v>
      </c>
      <c r="S88" s="17">
        <f t="shared" si="104"/>
        <v>-1.1103634353014424</v>
      </c>
      <c r="T88" s="17">
        <f t="shared" si="105"/>
        <v>1.8105859645127786</v>
      </c>
      <c r="U88" s="17">
        <f t="shared" si="106"/>
        <v>0.96326383728533305</v>
      </c>
      <c r="W88" t="str">
        <f t="shared" si="107"/>
        <v>31 Science, engineering and technology associate professionals</v>
      </c>
      <c r="X88" s="17">
        <f t="shared" si="108"/>
        <v>2.430512565287879</v>
      </c>
      <c r="Y88" s="17">
        <f t="shared" si="108"/>
        <v>24.91136073331608</v>
      </c>
      <c r="Z88" s="17">
        <f t="shared" si="108"/>
        <v>0.86407731242452712</v>
      </c>
      <c r="AA88" s="17">
        <f t="shared" si="108"/>
        <v>1.71016261503385</v>
      </c>
      <c r="AB88" s="17">
        <f t="shared" si="109"/>
        <v>1.4273485201238278</v>
      </c>
      <c r="AD88" s="17">
        <f t="shared" si="110"/>
        <v>1.4273485201238278</v>
      </c>
      <c r="AE88" s="17">
        <f t="shared" si="111"/>
        <v>2.9841395953817518</v>
      </c>
      <c r="AF88" s="17">
        <f t="shared" si="112"/>
        <v>3.9625818782682565</v>
      </c>
    </row>
    <row r="89" spans="1:32" x14ac:dyDescent="0.2">
      <c r="A89" t="str">
        <f t="shared" si="95"/>
        <v>32 Health and social care associate professionals</v>
      </c>
      <c r="B89" s="17">
        <f t="shared" si="96"/>
        <v>1.6667263769465146</v>
      </c>
      <c r="C89" s="17">
        <f t="shared" si="96"/>
        <v>0.76765177711415333</v>
      </c>
      <c r="D89" s="17">
        <f t="shared" si="96"/>
        <v>0.88568579266665726</v>
      </c>
      <c r="E89" s="17">
        <f t="shared" si="96"/>
        <v>1.3471483590249633</v>
      </c>
      <c r="F89" s="17">
        <f t="shared" si="97"/>
        <v>1.1930934477469402</v>
      </c>
      <c r="H89" s="17">
        <f t="shared" si="98"/>
        <v>1.1930934477469402</v>
      </c>
      <c r="I89" s="17">
        <f t="shared" si="99"/>
        <v>3.2713457512189459</v>
      </c>
      <c r="J89" s="17">
        <f t="shared" si="100"/>
        <v>4.0554195530920101</v>
      </c>
      <c r="K89" s="39"/>
      <c r="L89" t="str">
        <f t="shared" si="101"/>
        <v>32 Health and social care associate professionals</v>
      </c>
      <c r="M89" s="17">
        <f t="shared" si="102"/>
        <v>-1.7572145419447294</v>
      </c>
      <c r="N89" s="17">
        <f t="shared" si="102"/>
        <v>12.077735530639821</v>
      </c>
      <c r="O89" s="17">
        <f t="shared" si="102"/>
        <v>-0.74039663100574638</v>
      </c>
      <c r="P89" s="17">
        <f t="shared" si="102"/>
        <v>1.1323393863471809</v>
      </c>
      <c r="Q89" s="17">
        <f t="shared" si="103"/>
        <v>0.50420071980918912</v>
      </c>
      <c r="S89" s="17">
        <f t="shared" si="104"/>
        <v>0.50420071980918912</v>
      </c>
      <c r="T89" s="17">
        <f t="shared" si="105"/>
        <v>2.6779470646209669</v>
      </c>
      <c r="U89" s="17">
        <f t="shared" si="106"/>
        <v>3.030201015636047</v>
      </c>
      <c r="W89" t="str">
        <f t="shared" si="107"/>
        <v>32 Health and social care associate professionals</v>
      </c>
      <c r="X89" s="17">
        <f t="shared" si="108"/>
        <v>2.6500994033349157</v>
      </c>
      <c r="Y89" s="17">
        <f t="shared" si="108"/>
        <v>-2.1411740959518477</v>
      </c>
      <c r="Z89" s="17">
        <f t="shared" si="108"/>
        <v>1.3452621411011556</v>
      </c>
      <c r="AA89" s="17">
        <f t="shared" si="108"/>
        <v>1.4034918497345172</v>
      </c>
      <c r="AB89" s="17">
        <f t="shared" si="109"/>
        <v>1.3840782303716548</v>
      </c>
      <c r="AD89" s="17">
        <f t="shared" si="110"/>
        <v>1.3840782303716548</v>
      </c>
      <c r="AE89" s="17">
        <f t="shared" si="111"/>
        <v>3.4373958559720696</v>
      </c>
      <c r="AF89" s="17">
        <f t="shared" si="112"/>
        <v>4.3322277071207171</v>
      </c>
    </row>
    <row r="90" spans="1:32" x14ac:dyDescent="0.2">
      <c r="A90" t="str">
        <f t="shared" si="95"/>
        <v>33 Protective service occupations</v>
      </c>
      <c r="B90" s="17">
        <f t="shared" si="96"/>
        <v>0.961518639661052</v>
      </c>
      <c r="C90" s="17">
        <f t="shared" si="96"/>
        <v>7.8375227017317917</v>
      </c>
      <c r="D90" s="17">
        <f t="shared" si="96"/>
        <v>4.1437047651054826</v>
      </c>
      <c r="E90" s="17">
        <f t="shared" si="96"/>
        <v>1.4405700967561108</v>
      </c>
      <c r="F90" s="17">
        <f t="shared" si="97"/>
        <v>2.3337278843928777</v>
      </c>
      <c r="H90" s="17">
        <f t="shared" si="98"/>
        <v>2.3337278843928777</v>
      </c>
      <c r="I90" s="17">
        <f t="shared" si="99"/>
        <v>2.3951929998921706</v>
      </c>
      <c r="J90" s="17">
        <f t="shared" si="100"/>
        <v>4.1477199209654536</v>
      </c>
      <c r="K90" s="39"/>
      <c r="L90" t="str">
        <f t="shared" si="101"/>
        <v>33 Protective service occupations</v>
      </c>
      <c r="M90" s="17">
        <f t="shared" si="102"/>
        <v>7.5697049856815468E-2</v>
      </c>
      <c r="N90" s="17">
        <f t="shared" si="102"/>
        <v>6.5938184626750607</v>
      </c>
      <c r="O90" s="17">
        <f t="shared" si="102"/>
        <v>3.3141830375017056</v>
      </c>
      <c r="P90" s="17">
        <f t="shared" si="102"/>
        <v>0.95111746617273507</v>
      </c>
      <c r="Q90" s="17">
        <f t="shared" si="103"/>
        <v>1.7327386143547008</v>
      </c>
      <c r="S90" s="17">
        <f t="shared" si="104"/>
        <v>1.7327386143547008</v>
      </c>
      <c r="T90" s="17">
        <f t="shared" si="105"/>
        <v>1.9369424755424802</v>
      </c>
      <c r="U90" s="17">
        <f t="shared" si="106"/>
        <v>3.2997169480429855</v>
      </c>
      <c r="W90" t="str">
        <f t="shared" si="107"/>
        <v>33 Protective service occupations</v>
      </c>
      <c r="X90" s="17">
        <f t="shared" si="108"/>
        <v>3.7576224830530025</v>
      </c>
      <c r="Y90" s="17">
        <f t="shared" si="108"/>
        <v>11.425726864813646</v>
      </c>
      <c r="Z90" s="17">
        <f t="shared" si="108"/>
        <v>6.3053694310009512</v>
      </c>
      <c r="AA90" s="17">
        <f t="shared" si="108"/>
        <v>2.5322744528342822</v>
      </c>
      <c r="AB90" s="17">
        <f t="shared" si="109"/>
        <v>3.7748532539440882</v>
      </c>
      <c r="AD90" s="17">
        <f t="shared" si="110"/>
        <v>3.7748532539440882</v>
      </c>
      <c r="AE90" s="17">
        <f t="shared" si="111"/>
        <v>3.5288732688163238</v>
      </c>
      <c r="AF90" s="17">
        <f t="shared" si="112"/>
        <v>6.0854819304921204</v>
      </c>
    </row>
    <row r="91" spans="1:32" x14ac:dyDescent="0.2">
      <c r="A91" t="str">
        <f t="shared" si="95"/>
        <v>34 Culture, media and sports occupations</v>
      </c>
      <c r="B91" s="17">
        <f t="shared" si="96"/>
        <v>2.1053088205137627</v>
      </c>
      <c r="C91" s="17">
        <f t="shared" si="96"/>
        <v>-0.72621618281110134</v>
      </c>
      <c r="D91" s="17">
        <f t="shared" si="96"/>
        <v>1.0112664311355601</v>
      </c>
      <c r="E91" s="17">
        <f t="shared" si="96"/>
        <v>1.4954801542987228</v>
      </c>
      <c r="F91" s="17">
        <f t="shared" si="97"/>
        <v>1.3338182216056982</v>
      </c>
      <c r="H91" s="17">
        <f t="shared" si="98"/>
        <v>1.3338182216056982</v>
      </c>
      <c r="I91" s="17">
        <f t="shared" si="99"/>
        <v>2.870048691243765</v>
      </c>
      <c r="J91" s="17">
        <f t="shared" si="100"/>
        <v>3.7957763212190132</v>
      </c>
      <c r="K91" s="39"/>
      <c r="L91" t="str">
        <f t="shared" si="101"/>
        <v>34 Culture, media and sports occupations</v>
      </c>
      <c r="M91" s="17">
        <f t="shared" si="102"/>
        <v>0.57240057421459323</v>
      </c>
      <c r="N91" s="17">
        <f t="shared" si="102"/>
        <v>-8.8803434978642848</v>
      </c>
      <c r="O91" s="17">
        <f t="shared" si="102"/>
        <v>0.99189191681532396</v>
      </c>
      <c r="P91" s="17">
        <f t="shared" si="102"/>
        <v>1.4858479878862907</v>
      </c>
      <c r="Q91" s="17">
        <f t="shared" si="103"/>
        <v>1.3209281058196298</v>
      </c>
      <c r="S91" s="17">
        <f t="shared" si="104"/>
        <v>1.3209281058196298</v>
      </c>
      <c r="T91" s="17">
        <f t="shared" si="105"/>
        <v>2.4832534236366</v>
      </c>
      <c r="U91" s="17">
        <f t="shared" si="106"/>
        <v>3.4460801044143841</v>
      </c>
      <c r="W91" t="str">
        <f t="shared" si="107"/>
        <v>34 Culture, media and sports occupations</v>
      </c>
      <c r="X91" s="17">
        <f t="shared" si="108"/>
        <v>3.542339513239412</v>
      </c>
      <c r="Y91" s="17">
        <f t="shared" si="108"/>
        <v>6.3813414109620492</v>
      </c>
      <c r="Z91" s="17">
        <f t="shared" si="108"/>
        <v>1.0257218085342856</v>
      </c>
      <c r="AA91" s="17">
        <f t="shared" si="108"/>
        <v>1.5026541748013766</v>
      </c>
      <c r="AB91" s="17">
        <f t="shared" si="109"/>
        <v>1.3434270706018436</v>
      </c>
      <c r="AD91" s="17">
        <f t="shared" si="110"/>
        <v>1.3434270706018436</v>
      </c>
      <c r="AE91" s="17">
        <f t="shared" si="111"/>
        <v>3.1461061820206249</v>
      </c>
      <c r="AF91" s="17">
        <f t="shared" si="112"/>
        <v>4.046507722521131</v>
      </c>
    </row>
    <row r="92" spans="1:32" x14ac:dyDescent="0.2">
      <c r="A92" t="str">
        <f t="shared" si="95"/>
        <v>35 Business and public service associate professionals</v>
      </c>
      <c r="B92" s="17">
        <f t="shared" si="96"/>
        <v>1.8183052452275916</v>
      </c>
      <c r="C92" s="17">
        <f t="shared" si="96"/>
        <v>4.4851058662549459</v>
      </c>
      <c r="D92" s="17">
        <f t="shared" si="96"/>
        <v>-0.47128457640419619</v>
      </c>
      <c r="E92" s="17">
        <f t="shared" si="96"/>
        <v>0.48881589173725981</v>
      </c>
      <c r="F92" s="17">
        <f t="shared" si="97"/>
        <v>0.16775772545101209</v>
      </c>
      <c r="H92" s="17">
        <f t="shared" si="98"/>
        <v>0.16775772545101209</v>
      </c>
      <c r="I92" s="17">
        <f t="shared" si="99"/>
        <v>2.5386770525544167</v>
      </c>
      <c r="J92" s="17">
        <f t="shared" si="100"/>
        <v>2.6572113321660318</v>
      </c>
      <c r="K92" s="39"/>
      <c r="L92" t="str">
        <f t="shared" si="101"/>
        <v>35 Business and public service associate professionals</v>
      </c>
      <c r="M92" s="17">
        <f t="shared" si="102"/>
        <v>0.92214134892560917</v>
      </c>
      <c r="N92" s="17">
        <f t="shared" si="102"/>
        <v>3.5163889021328831</v>
      </c>
      <c r="O92" s="17">
        <f t="shared" si="102"/>
        <v>-1.2791872307534535</v>
      </c>
      <c r="P92" s="17">
        <f t="shared" si="102"/>
        <v>1.7380679868383986E-2</v>
      </c>
      <c r="Q92" s="17">
        <f t="shared" si="103"/>
        <v>-0.41668974229864819</v>
      </c>
      <c r="S92" s="17">
        <f t="shared" si="104"/>
        <v>-0.41668974229864819</v>
      </c>
      <c r="T92" s="17">
        <f t="shared" si="105"/>
        <v>2.071821295951759</v>
      </c>
      <c r="U92" s="17">
        <f t="shared" si="106"/>
        <v>1.76156227454487</v>
      </c>
      <c r="W92" t="str">
        <f t="shared" si="107"/>
        <v>35 Business and public service associate professionals</v>
      </c>
      <c r="X92" s="17">
        <f t="shared" si="108"/>
        <v>2.902021729836668</v>
      </c>
      <c r="Y92" s="17">
        <f t="shared" si="108"/>
        <v>5.6010455602893749</v>
      </c>
      <c r="Z92" s="17">
        <f t="shared" si="108"/>
        <v>0.41057082372608633</v>
      </c>
      <c r="AA92" s="17">
        <f t="shared" si="108"/>
        <v>0.95770060569662085</v>
      </c>
      <c r="AB92" s="17">
        <f t="shared" si="109"/>
        <v>0.77499355917864943</v>
      </c>
      <c r="AD92" s="17">
        <f t="shared" si="110"/>
        <v>0.77499355917864943</v>
      </c>
      <c r="AE92" s="17">
        <f t="shared" si="111"/>
        <v>3.0323992765100671</v>
      </c>
      <c r="AF92" s="17">
        <f t="shared" si="112"/>
        <v>3.552359020082263</v>
      </c>
    </row>
    <row r="93" spans="1:32" x14ac:dyDescent="0.2">
      <c r="A93" t="str">
        <f t="shared" si="95"/>
        <v>41 Administrative occupations</v>
      </c>
      <c r="B93" s="17">
        <f t="shared" si="96"/>
        <v>-0.29018141797458874</v>
      </c>
      <c r="C93" s="17">
        <f t="shared" si="96"/>
        <v>5.399823311550378</v>
      </c>
      <c r="D93" s="17">
        <f t="shared" si="96"/>
        <v>-1.5526057865363319</v>
      </c>
      <c r="E93" s="17">
        <f t="shared" si="96"/>
        <v>-0.55954653685952316</v>
      </c>
      <c r="F93" s="17">
        <f t="shared" si="97"/>
        <v>-0.89167434760123454</v>
      </c>
      <c r="H93" s="17">
        <f t="shared" si="98"/>
        <v>-0.89167434760123454</v>
      </c>
      <c r="I93" s="17">
        <f t="shared" si="99"/>
        <v>2.5678600490920411</v>
      </c>
      <c r="J93" s="17">
        <f t="shared" si="100"/>
        <v>1.955210884550751</v>
      </c>
      <c r="K93" s="39"/>
      <c r="L93" t="str">
        <f t="shared" si="101"/>
        <v>41 Administrative occupations</v>
      </c>
      <c r="M93" s="17">
        <f t="shared" si="102"/>
        <v>-2.2342771103923575</v>
      </c>
      <c r="N93" s="17">
        <f t="shared" si="102"/>
        <v>19.769725749111402</v>
      </c>
      <c r="O93" s="17">
        <f t="shared" si="102"/>
        <v>-1.1688708521225499</v>
      </c>
      <c r="P93" s="17">
        <f t="shared" si="102"/>
        <v>0.52063350231463801</v>
      </c>
      <c r="Q93" s="17">
        <f t="shared" si="103"/>
        <v>-4.5719567900259772E-2</v>
      </c>
      <c r="S93" s="17">
        <f t="shared" si="104"/>
        <v>-4.5719567900259772E-2</v>
      </c>
      <c r="T93" s="17">
        <f t="shared" si="105"/>
        <v>2.0568032453730734</v>
      </c>
      <c r="U93" s="17">
        <f t="shared" si="106"/>
        <v>2.0224515422549327</v>
      </c>
      <c r="W93" t="str">
        <f t="shared" si="107"/>
        <v>41 Administrative occupations</v>
      </c>
      <c r="X93" s="17">
        <f t="shared" si="108"/>
        <v>0.3839967112221121</v>
      </c>
      <c r="Y93" s="17">
        <f t="shared" si="108"/>
        <v>0.73620208920792685</v>
      </c>
      <c r="Z93" s="17">
        <f t="shared" si="108"/>
        <v>-1.7022874250762543</v>
      </c>
      <c r="AA93" s="17">
        <f t="shared" si="108"/>
        <v>-1.0187550070775875</v>
      </c>
      <c r="AB93" s="17">
        <f t="shared" si="109"/>
        <v>-1.2471256404625097</v>
      </c>
      <c r="AD93" s="17">
        <f t="shared" si="110"/>
        <v>-1.2471256404625097</v>
      </c>
      <c r="AE93" s="17">
        <f t="shared" si="111"/>
        <v>2.755893101807283</v>
      </c>
      <c r="AF93" s="17">
        <f t="shared" si="112"/>
        <v>1.9290984486721729</v>
      </c>
    </row>
    <row r="94" spans="1:32" x14ac:dyDescent="0.2">
      <c r="A94" t="str">
        <f t="shared" si="95"/>
        <v>42 Secretarial and related occupations</v>
      </c>
      <c r="B94" s="17">
        <f t="shared" si="96"/>
        <v>-1.8489242845973419</v>
      </c>
      <c r="C94" s="17">
        <f t="shared" si="96"/>
        <v>-2.255572783348514</v>
      </c>
      <c r="D94" s="17">
        <f t="shared" si="96"/>
        <v>1.1864798811773491</v>
      </c>
      <c r="E94" s="17">
        <f t="shared" si="96"/>
        <v>-1.0580616437845358</v>
      </c>
      <c r="F94" s="17">
        <f t="shared" si="97"/>
        <v>-0.31546849495365237</v>
      </c>
      <c r="H94" s="17">
        <f t="shared" si="98"/>
        <v>-0.31546849495365237</v>
      </c>
      <c r="I94" s="17">
        <f t="shared" si="99"/>
        <v>2.875732236003703</v>
      </c>
      <c r="J94" s="17">
        <f t="shared" si="100"/>
        <v>2.6652482520789444</v>
      </c>
      <c r="K94" s="39"/>
      <c r="L94" t="str">
        <f t="shared" si="101"/>
        <v>42 Secretarial and related occupations</v>
      </c>
      <c r="M94" s="17">
        <f t="shared" si="102"/>
        <v>-6.7715385584519616</v>
      </c>
      <c r="N94" s="17">
        <f t="shared" si="102"/>
        <v>-7.0236708545314279</v>
      </c>
      <c r="O94" s="17">
        <f t="shared" si="102"/>
        <v>7.3502203361794693</v>
      </c>
      <c r="P94" s="17">
        <f t="shared" si="102"/>
        <v>2.244443706909327</v>
      </c>
      <c r="Q94" s="17">
        <f t="shared" si="103"/>
        <v>3.9188002880016892</v>
      </c>
      <c r="S94" s="17">
        <f t="shared" si="104"/>
        <v>3.9188002880016892</v>
      </c>
      <c r="T94" s="17">
        <f t="shared" si="105"/>
        <v>2.7391818004863122</v>
      </c>
      <c r="U94" s="17">
        <f t="shared" si="106"/>
        <v>5.6476202796098551</v>
      </c>
      <c r="W94" t="str">
        <f t="shared" si="107"/>
        <v>42 Secretarial and related occupations</v>
      </c>
      <c r="X94" s="17">
        <f t="shared" si="108"/>
        <v>-1.3163388289058386</v>
      </c>
      <c r="Y94" s="17">
        <f t="shared" si="108"/>
        <v>-1.8088003139327125</v>
      </c>
      <c r="Z94" s="17">
        <f t="shared" si="108"/>
        <v>0.56111746482689906</v>
      </c>
      <c r="AA94" s="17">
        <f t="shared" si="108"/>
        <v>-1.5415381204676892</v>
      </c>
      <c r="AB94" s="17">
        <f t="shared" si="109"/>
        <v>-0.84558387311054473</v>
      </c>
      <c r="AD94" s="17">
        <f t="shared" si="110"/>
        <v>-0.84558387311054473</v>
      </c>
      <c r="AE94" s="17">
        <f t="shared" si="111"/>
        <v>2.8877258200479927</v>
      </c>
      <c r="AF94" s="17">
        <f t="shared" si="112"/>
        <v>2.3319618423963684</v>
      </c>
    </row>
    <row r="95" spans="1:32" x14ac:dyDescent="0.2">
      <c r="A95" t="str">
        <f t="shared" si="95"/>
        <v>51 Skilled agricultural and related trades</v>
      </c>
      <c r="B95" s="17">
        <f t="shared" si="96"/>
        <v>-0.69999994424340128</v>
      </c>
      <c r="C95" s="17">
        <f t="shared" si="96"/>
        <v>8.6467638164184457</v>
      </c>
      <c r="D95" s="17">
        <f t="shared" si="96"/>
        <v>0.11376683633712581</v>
      </c>
      <c r="E95" s="17">
        <f t="shared" si="96"/>
        <v>0.85579386615208808</v>
      </c>
      <c r="F95" s="17">
        <f t="shared" si="97"/>
        <v>0.60784244009939314</v>
      </c>
      <c r="H95" s="17">
        <f t="shared" si="98"/>
        <v>0.60784244009939314</v>
      </c>
      <c r="I95" s="17">
        <f t="shared" si="99"/>
        <v>2.9742778043562401</v>
      </c>
      <c r="J95" s="17">
        <f t="shared" si="100"/>
        <v>3.3835732197527779</v>
      </c>
      <c r="K95" s="39"/>
      <c r="L95" t="str">
        <f t="shared" si="101"/>
        <v>51 Skilled agricultural and related trades</v>
      </c>
      <c r="M95" s="17">
        <f t="shared" si="102"/>
        <v>-1.3242856052184449</v>
      </c>
      <c r="N95" s="17">
        <f t="shared" si="102"/>
        <v>8.0082370941887184</v>
      </c>
      <c r="O95" s="17">
        <f t="shared" si="102"/>
        <v>-3.2818282849611524E-2</v>
      </c>
      <c r="P95" s="17">
        <f t="shared" si="102"/>
        <v>0.57690306678475078</v>
      </c>
      <c r="Q95" s="17">
        <f t="shared" si="103"/>
        <v>0.37325053062051694</v>
      </c>
      <c r="S95" s="17">
        <f t="shared" si="104"/>
        <v>0.37325053062051694</v>
      </c>
      <c r="T95" s="17">
        <f t="shared" si="105"/>
        <v>2.8049798369735646</v>
      </c>
      <c r="U95" s="17">
        <f t="shared" si="106"/>
        <v>3.0606085486903911</v>
      </c>
      <c r="W95" t="str">
        <f t="shared" si="107"/>
        <v>51 Skilled agricultural and related trades</v>
      </c>
      <c r="X95" s="17">
        <f t="shared" si="108"/>
        <v>4.4645570651721922</v>
      </c>
      <c r="Y95" s="17">
        <f t="shared" si="108"/>
        <v>13.234715170164524</v>
      </c>
      <c r="Z95" s="17">
        <f t="shared" si="108"/>
        <v>1.0959973188217509</v>
      </c>
      <c r="AA95" s="17">
        <f t="shared" si="108"/>
        <v>2.5125279872324269</v>
      </c>
      <c r="AB95" s="17">
        <f t="shared" si="109"/>
        <v>2.0381593804816855</v>
      </c>
      <c r="AD95" s="17">
        <f t="shared" si="110"/>
        <v>2.0381593804816855</v>
      </c>
      <c r="AE95" s="17">
        <f t="shared" si="111"/>
        <v>4.040463500896152</v>
      </c>
      <c r="AF95" s="17">
        <f t="shared" si="112"/>
        <v>5.2841111619769121</v>
      </c>
    </row>
    <row r="96" spans="1:32" x14ac:dyDescent="0.2">
      <c r="A96" t="str">
        <f t="shared" si="95"/>
        <v>52 Skilled metal, electrical and electronic trades</v>
      </c>
      <c r="B96" s="17">
        <f t="shared" si="96"/>
        <v>-0.47626895774336431</v>
      </c>
      <c r="C96" s="17">
        <f t="shared" si="96"/>
        <v>-10.324241939368727</v>
      </c>
      <c r="D96" s="17">
        <f t="shared" si="96"/>
        <v>-0.15135934144734353</v>
      </c>
      <c r="E96" s="17">
        <f t="shared" si="96"/>
        <v>-0.31548739369083867</v>
      </c>
      <c r="F96" s="17">
        <f t="shared" si="97"/>
        <v>-0.2608080413666114</v>
      </c>
      <c r="H96" s="17">
        <f t="shared" si="98"/>
        <v>-0.2608080413666114</v>
      </c>
      <c r="I96" s="17">
        <f t="shared" si="99"/>
        <v>2.1648414840337749</v>
      </c>
      <c r="J96" s="17">
        <f t="shared" si="100"/>
        <v>1.9725760721069685</v>
      </c>
      <c r="K96" s="39"/>
      <c r="L96" t="str">
        <f t="shared" si="101"/>
        <v>52 Skilled metal, electrical and electronic trades</v>
      </c>
      <c r="M96" s="17">
        <f t="shared" si="102"/>
        <v>-0.81670839411761564</v>
      </c>
      <c r="N96" s="17">
        <f t="shared" si="102"/>
        <v>-9.9835656433611142</v>
      </c>
      <c r="O96" s="17">
        <f t="shared" si="102"/>
        <v>-0.86736407803343907</v>
      </c>
      <c r="P96" s="17">
        <f t="shared" si="102"/>
        <v>-0.62038433286980554</v>
      </c>
      <c r="Q96" s="17">
        <f t="shared" si="103"/>
        <v>-0.70277920867023447</v>
      </c>
      <c r="S96" s="17">
        <f t="shared" si="104"/>
        <v>-0.70277920867023447</v>
      </c>
      <c r="T96" s="17">
        <f t="shared" si="105"/>
        <v>2.0218056379131877</v>
      </c>
      <c r="U96" s="17">
        <f t="shared" si="106"/>
        <v>1.4976882927264512</v>
      </c>
      <c r="W96" t="str">
        <f t="shared" si="107"/>
        <v>52 Skilled metal, electrical and electronic trades</v>
      </c>
      <c r="X96" s="17">
        <f t="shared" si="108"/>
        <v>14.463317765597573</v>
      </c>
      <c r="Y96" s="17">
        <f t="shared" si="108"/>
        <v>-20.901244789178008</v>
      </c>
      <c r="Z96" s="17">
        <f t="shared" si="108"/>
        <v>17.417219122018569</v>
      </c>
      <c r="AA96" s="17">
        <f t="shared" si="108"/>
        <v>3.5097032239608472</v>
      </c>
      <c r="AB96" s="17">
        <f t="shared" si="109"/>
        <v>7.9521523586470355</v>
      </c>
      <c r="AD96" s="17">
        <f t="shared" si="110"/>
        <v>7.9521523586470355</v>
      </c>
      <c r="AE96" s="17">
        <f t="shared" si="111"/>
        <v>5.9866250609905913</v>
      </c>
      <c r="AF96" s="17">
        <f t="shared" si="112"/>
        <v>10.61754001181836</v>
      </c>
    </row>
    <row r="97" spans="1:32" x14ac:dyDescent="0.2">
      <c r="A97" t="str">
        <f t="shared" si="95"/>
        <v>53 Skilled construction and building trades</v>
      </c>
      <c r="B97" s="17">
        <f t="shared" si="96"/>
        <v>0.93347035241595488</v>
      </c>
      <c r="C97" s="17">
        <f t="shared" si="96"/>
        <v>-19.098581071758424</v>
      </c>
      <c r="D97" s="17">
        <f t="shared" si="96"/>
        <v>1.8296331672833954</v>
      </c>
      <c r="E97" s="17">
        <f t="shared" si="96"/>
        <v>6.5425675104746617E-2</v>
      </c>
      <c r="F97" s="17">
        <f t="shared" si="97"/>
        <v>0.6500723046203527</v>
      </c>
      <c r="H97" s="17">
        <f t="shared" si="98"/>
        <v>0.6500723046203527</v>
      </c>
      <c r="I97" s="17">
        <f t="shared" si="99"/>
        <v>2.5679043884638375</v>
      </c>
      <c r="J97" s="17">
        <f t="shared" si="100"/>
        <v>3.0301964482685406</v>
      </c>
      <c r="K97" s="39"/>
      <c r="L97" t="str">
        <f t="shared" si="101"/>
        <v>53 Skilled construction and building trades</v>
      </c>
      <c r="M97" s="17">
        <f t="shared" si="102"/>
        <v>0.85854267407061702</v>
      </c>
      <c r="N97" s="17">
        <f t="shared" si="102"/>
        <v>-19.739422344441159</v>
      </c>
      <c r="O97" s="17">
        <f t="shared" si="102"/>
        <v>1.8118404732734961</v>
      </c>
      <c r="P97" s="17">
        <f t="shared" si="102"/>
        <v>1.3369137779428719E-2</v>
      </c>
      <c r="Q97" s="17">
        <f t="shared" si="103"/>
        <v>0.60930164940717901</v>
      </c>
      <c r="S97" s="17">
        <f t="shared" si="104"/>
        <v>0.60930164940717901</v>
      </c>
      <c r="T97" s="17">
        <f t="shared" si="105"/>
        <v>2.5468394963126473</v>
      </c>
      <c r="U97" s="17">
        <f t="shared" si="106"/>
        <v>2.9809713668718096</v>
      </c>
      <c r="W97" t="str">
        <f t="shared" si="107"/>
        <v>53 Skilled construction and building trades</v>
      </c>
      <c r="X97" s="17">
        <f t="shared" si="108"/>
        <v>6.0309455311466698</v>
      </c>
      <c r="Y97" s="17">
        <f t="shared" si="108"/>
        <v>19.433456654631122</v>
      </c>
      <c r="Z97" s="17">
        <f t="shared" si="108"/>
        <v>2.5383818578463835</v>
      </c>
      <c r="AA97" s="17">
        <f t="shared" si="108"/>
        <v>1.9268162143009748</v>
      </c>
      <c r="AB97" s="17">
        <f t="shared" si="109"/>
        <v>2.1302650688662883</v>
      </c>
      <c r="AD97" s="17">
        <f t="shared" si="110"/>
        <v>2.1302650688662883</v>
      </c>
      <c r="AE97" s="17">
        <f t="shared" si="111"/>
        <v>3.3721541428008317</v>
      </c>
      <c r="AF97" s="17">
        <f t="shared" si="112"/>
        <v>4.7866428568130948</v>
      </c>
    </row>
    <row r="98" spans="1:32" x14ac:dyDescent="0.2">
      <c r="A98" t="str">
        <f t="shared" si="95"/>
        <v>54 Textiles, printing and other skilled trades</v>
      </c>
      <c r="B98" s="17">
        <f t="shared" si="96"/>
        <v>-1.0198470281750582</v>
      </c>
      <c r="C98" s="17">
        <f t="shared" si="96"/>
        <v>-2.718006162352149</v>
      </c>
      <c r="D98" s="17">
        <f t="shared" si="96"/>
        <v>0.2923156712740127</v>
      </c>
      <c r="E98" s="17">
        <f t="shared" si="96"/>
        <v>-0.35986785362867035</v>
      </c>
      <c r="F98" s="17">
        <f t="shared" si="97"/>
        <v>-0.1429459386828924</v>
      </c>
      <c r="H98" s="17">
        <f t="shared" si="98"/>
        <v>-0.1429459386828924</v>
      </c>
      <c r="I98" s="17">
        <f t="shared" si="99"/>
        <v>2.4815019499772273</v>
      </c>
      <c r="J98" s="17">
        <f t="shared" si="100"/>
        <v>2.380392555957056</v>
      </c>
      <c r="K98" s="39"/>
      <c r="L98" t="str">
        <f t="shared" si="101"/>
        <v>54 Textiles, printing and other skilled trades</v>
      </c>
      <c r="M98" s="17">
        <f t="shared" si="102"/>
        <v>-1.4978313487692518</v>
      </c>
      <c r="N98" s="17">
        <f t="shared" si="102"/>
        <v>-10.266537780500041</v>
      </c>
      <c r="O98" s="17">
        <f t="shared" si="102"/>
        <v>-0.16339878331758095</v>
      </c>
      <c r="P98" s="17">
        <f t="shared" si="102"/>
        <v>-0.55741949950045555</v>
      </c>
      <c r="Q98" s="17">
        <f t="shared" si="103"/>
        <v>-0.42625234946066515</v>
      </c>
      <c r="S98" s="17">
        <f t="shared" si="104"/>
        <v>-0.42625234946066515</v>
      </c>
      <c r="T98" s="17">
        <f t="shared" si="105"/>
        <v>1.8018459969240563</v>
      </c>
      <c r="U98" s="17">
        <f t="shared" si="106"/>
        <v>1.4722425798058714</v>
      </c>
      <c r="W98" t="str">
        <f t="shared" si="107"/>
        <v>54 Textiles, printing and other skilled trades</v>
      </c>
      <c r="X98" s="17">
        <f t="shared" si="108"/>
        <v>-0.3209205788197167</v>
      </c>
      <c r="Y98" s="17">
        <f t="shared" si="108"/>
        <v>7.996984981659061</v>
      </c>
      <c r="Z98" s="17">
        <f t="shared" si="108"/>
        <v>0.81936789127248222</v>
      </c>
      <c r="AA98" s="17">
        <f t="shared" si="108"/>
        <v>-0.14212908308297578</v>
      </c>
      <c r="AB98" s="17">
        <f t="shared" si="109"/>
        <v>0.17734671778935063</v>
      </c>
      <c r="AD98" s="17">
        <f t="shared" si="110"/>
        <v>0.17734671778935063</v>
      </c>
      <c r="AE98" s="17">
        <f t="shared" si="111"/>
        <v>3.2095945975268325</v>
      </c>
      <c r="AF98" s="17">
        <f t="shared" si="112"/>
        <v>3.3240842177334473</v>
      </c>
    </row>
    <row r="99" spans="1:32" x14ac:dyDescent="0.2">
      <c r="A99" t="str">
        <f t="shared" si="95"/>
        <v>61 Caring personal service occupations</v>
      </c>
      <c r="B99" s="17">
        <f t="shared" si="96"/>
        <v>-0.28017878074924063</v>
      </c>
      <c r="C99" s="17">
        <f t="shared" si="96"/>
        <v>-4.5007600704070505</v>
      </c>
      <c r="D99" s="17">
        <f t="shared" si="96"/>
        <v>1.9445879364306862</v>
      </c>
      <c r="E99" s="17">
        <f t="shared" si="96"/>
        <v>1.0538761021595899</v>
      </c>
      <c r="F99" s="17">
        <f t="shared" si="97"/>
        <v>1.3499119672925275</v>
      </c>
      <c r="H99" s="17">
        <f t="shared" si="98"/>
        <v>1.3499119672925275</v>
      </c>
      <c r="I99" s="17">
        <f t="shared" si="99"/>
        <v>3.3357489310514854</v>
      </c>
      <c r="J99" s="17">
        <f t="shared" si="100"/>
        <v>4.2190717434367642</v>
      </c>
      <c r="K99" s="39"/>
      <c r="L99" t="str">
        <f t="shared" si="101"/>
        <v>61 Caring personal service occupations</v>
      </c>
      <c r="M99" s="17">
        <f t="shared" si="102"/>
        <v>-1.477831427566445</v>
      </c>
      <c r="N99" s="17">
        <f t="shared" si="102"/>
        <v>-0.2883790251262508</v>
      </c>
      <c r="O99" s="17">
        <f t="shared" si="102"/>
        <v>4.697280642576418</v>
      </c>
      <c r="P99" s="17">
        <f t="shared" si="102"/>
        <v>1.9271995536234154</v>
      </c>
      <c r="Q99" s="17">
        <f t="shared" si="103"/>
        <v>2.842319228536172</v>
      </c>
      <c r="S99" s="17">
        <f t="shared" si="104"/>
        <v>2.842319228536172</v>
      </c>
      <c r="T99" s="17">
        <f t="shared" si="105"/>
        <v>3.1099685476583261</v>
      </c>
      <c r="U99" s="17">
        <f t="shared" si="106"/>
        <v>5.0895323396932479</v>
      </c>
      <c r="W99" t="str">
        <f t="shared" si="107"/>
        <v>61 Caring personal service occupations</v>
      </c>
      <c r="X99" s="17">
        <f t="shared" si="108"/>
        <v>-0.1468287001480717</v>
      </c>
      <c r="Y99" s="17">
        <f t="shared" si="108"/>
        <v>-4.9542641114028507</v>
      </c>
      <c r="Z99" s="17">
        <f t="shared" si="108"/>
        <v>1.6143026834372964</v>
      </c>
      <c r="AA99" s="17">
        <f t="shared" si="108"/>
        <v>0.93414454360927213</v>
      </c>
      <c r="AB99" s="17">
        <f t="shared" si="109"/>
        <v>1.1603565619844103</v>
      </c>
      <c r="AD99" s="17">
        <f t="shared" si="110"/>
        <v>1.1603565619844103</v>
      </c>
      <c r="AE99" s="17">
        <f t="shared" si="111"/>
        <v>3.3608206983422706</v>
      </c>
      <c r="AF99" s="17">
        <f t="shared" si="112"/>
        <v>4.1140588551521251</v>
      </c>
    </row>
    <row r="100" spans="1:32" x14ac:dyDescent="0.2">
      <c r="A100" t="str">
        <f t="shared" si="95"/>
        <v>62 Leisure, travel and related personal service occupations</v>
      </c>
      <c r="B100" s="17">
        <f t="shared" si="96"/>
        <v>2.8477329990289846</v>
      </c>
      <c r="C100" s="17">
        <f t="shared" si="96"/>
        <v>-11.598889581901005</v>
      </c>
      <c r="D100" s="17">
        <f t="shared" si="96"/>
        <v>1.7196700039365576</v>
      </c>
      <c r="E100" s="17">
        <f t="shared" si="96"/>
        <v>0.93514436083668162</v>
      </c>
      <c r="F100" s="17">
        <f t="shared" si="97"/>
        <v>1.1959782877981162</v>
      </c>
      <c r="H100" s="17">
        <f t="shared" si="98"/>
        <v>1.1959782877981162</v>
      </c>
      <c r="I100" s="17">
        <f t="shared" si="99"/>
        <v>3.0626096662633495</v>
      </c>
      <c r="J100" s="17">
        <f t="shared" si="100"/>
        <v>3.8699465117921106</v>
      </c>
      <c r="K100" s="39"/>
      <c r="L100" t="str">
        <f t="shared" si="101"/>
        <v>62 Leisure, travel and related personal service occupations</v>
      </c>
      <c r="M100" s="17">
        <f t="shared" si="102"/>
        <v>3.9978293363528206</v>
      </c>
      <c r="N100" s="17">
        <f t="shared" si="102"/>
        <v>-1.4695230761873734</v>
      </c>
      <c r="O100" s="17">
        <f t="shared" si="102"/>
        <v>1.5369800634627451</v>
      </c>
      <c r="P100" s="17">
        <f t="shared" si="102"/>
        <v>1.2966785335633668</v>
      </c>
      <c r="Q100" s="17">
        <f t="shared" si="103"/>
        <v>1.3767157872686342</v>
      </c>
      <c r="S100" s="17">
        <f t="shared" si="104"/>
        <v>1.3767157872686342</v>
      </c>
      <c r="T100" s="17">
        <f t="shared" si="105"/>
        <v>2.6870727631663094</v>
      </c>
      <c r="U100" s="17">
        <f t="shared" si="106"/>
        <v>3.665977446675317</v>
      </c>
      <c r="W100" t="str">
        <f t="shared" si="107"/>
        <v>62 Leisure, travel and related personal service occupations</v>
      </c>
      <c r="X100" s="17">
        <f t="shared" si="108"/>
        <v>2.4196878785294196</v>
      </c>
      <c r="Y100" s="17">
        <f t="shared" si="108"/>
        <v>-15.515504173038352</v>
      </c>
      <c r="Z100" s="17">
        <f t="shared" si="108"/>
        <v>1.8016252838463087</v>
      </c>
      <c r="AA100" s="17">
        <f t="shared" si="108"/>
        <v>0.7703974419053683</v>
      </c>
      <c r="AB100" s="17">
        <f t="shared" si="109"/>
        <v>1.1129741205141652</v>
      </c>
      <c r="AD100" s="17">
        <f t="shared" si="110"/>
        <v>1.1129741205141652</v>
      </c>
      <c r="AE100" s="17">
        <f t="shared" si="111"/>
        <v>3.2258805862045881</v>
      </c>
      <c r="AF100" s="17">
        <f t="shared" si="112"/>
        <v>3.9601213390172418</v>
      </c>
    </row>
    <row r="101" spans="1:32" x14ac:dyDescent="0.2">
      <c r="A101" t="str">
        <f t="shared" si="95"/>
        <v>63 Community and civil enforcement occupations</v>
      </c>
      <c r="B101" s="17">
        <f t="shared" si="96"/>
        <v>-4.7012982403349728</v>
      </c>
      <c r="C101" s="17">
        <f t="shared" si="96"/>
        <v>36.144862143166009</v>
      </c>
      <c r="D101" s="17">
        <f t="shared" si="96"/>
        <v>-5.1506404617325474</v>
      </c>
      <c r="E101" s="17">
        <f t="shared" si="96"/>
        <v>0.52787125026942938</v>
      </c>
      <c r="F101" s="17">
        <f t="shared" si="97"/>
        <v>-1.4017685717510719</v>
      </c>
      <c r="H101" s="17">
        <f t="shared" si="98"/>
        <v>-1.4017685717510719</v>
      </c>
      <c r="I101" s="17">
        <f t="shared" si="99"/>
        <v>2.1196909241836259</v>
      </c>
      <c r="J101" s="17">
        <f t="shared" si="100"/>
        <v>1.1033561548540183</v>
      </c>
      <c r="K101" s="39"/>
      <c r="L101" t="str">
        <f t="shared" si="101"/>
        <v>63 Community and civil enforcement occupations</v>
      </c>
      <c r="M101" s="17">
        <f t="shared" si="102"/>
        <v>-8.1262129416882374</v>
      </c>
      <c r="N101" s="17">
        <f t="shared" si="102"/>
        <v>57.554667707683564</v>
      </c>
      <c r="O101" s="17">
        <f t="shared" si="102"/>
        <v>-8.7575605784230746</v>
      </c>
      <c r="P101" s="17">
        <f t="shared" si="102"/>
        <v>0.99975007316313036</v>
      </c>
      <c r="Q101" s="17">
        <f t="shared" si="103"/>
        <v>-2.3634342172712541</v>
      </c>
      <c r="S101" s="17">
        <f t="shared" si="104"/>
        <v>-2.3634342172712541</v>
      </c>
      <c r="T101" s="17">
        <f t="shared" si="105"/>
        <v>1.5984625387294615</v>
      </c>
      <c r="U101" s="17">
        <f t="shared" si="106"/>
        <v>-0.22289642620285655</v>
      </c>
      <c r="W101" t="str">
        <f t="shared" si="107"/>
        <v>63 Community and civil enforcement occupations</v>
      </c>
      <c r="X101" s="17">
        <f t="shared" si="108"/>
        <v>6.0455638956729674</v>
      </c>
      <c r="Y101" s="17">
        <f t="shared" si="108"/>
        <v>-11.085685223545283</v>
      </c>
      <c r="Z101" s="17">
        <f t="shared" si="108"/>
        <v>5.3300276923939016</v>
      </c>
      <c r="AA101" s="17">
        <f t="shared" si="108"/>
        <v>-0.43127888366620848</v>
      </c>
      <c r="AB101" s="17">
        <f t="shared" si="109"/>
        <v>1.4532628010152315</v>
      </c>
      <c r="AD101" s="17">
        <f t="shared" si="110"/>
        <v>1.4532628010152315</v>
      </c>
      <c r="AE101" s="17">
        <f t="shared" si="111"/>
        <v>3.8617589856514201</v>
      </c>
      <c r="AF101" s="17">
        <f t="shared" si="112"/>
        <v>4.7537812090070464</v>
      </c>
    </row>
    <row r="102" spans="1:32" x14ac:dyDescent="0.2">
      <c r="A102" t="str">
        <f t="shared" si="95"/>
        <v>71 Sales occupations</v>
      </c>
      <c r="B102" s="17">
        <f t="shared" si="96"/>
        <v>-1.141319952994313</v>
      </c>
      <c r="C102" s="17">
        <f t="shared" si="96"/>
        <v>1.986319273949988E-2</v>
      </c>
      <c r="D102" s="17">
        <f t="shared" si="96"/>
        <v>-1.2126256394695445</v>
      </c>
      <c r="E102" s="17">
        <f t="shared" si="96"/>
        <v>-0.53134517931673342</v>
      </c>
      <c r="F102" s="17">
        <f t="shared" si="97"/>
        <v>-0.75895911730006205</v>
      </c>
      <c r="H102" s="17">
        <f t="shared" si="98"/>
        <v>-0.75895911730006205</v>
      </c>
      <c r="I102" s="17">
        <f t="shared" si="99"/>
        <v>2.4252760166397769</v>
      </c>
      <c r="J102" s="17">
        <f t="shared" si="100"/>
        <v>1.891490566228482</v>
      </c>
      <c r="K102" s="39"/>
      <c r="L102" t="str">
        <f t="shared" si="101"/>
        <v>71 Sales occupations</v>
      </c>
      <c r="M102" s="17">
        <f t="shared" si="102"/>
        <v>-0.40005877821913671</v>
      </c>
      <c r="N102" s="17">
        <f t="shared" si="102"/>
        <v>0.44499745245891731</v>
      </c>
      <c r="O102" s="17">
        <f t="shared" si="102"/>
        <v>-0.99487475097409517</v>
      </c>
      <c r="P102" s="17">
        <f t="shared" si="102"/>
        <v>-0.13258355240776121</v>
      </c>
      <c r="Q102" s="17">
        <f t="shared" si="103"/>
        <v>-0.42084520232470446</v>
      </c>
      <c r="S102" s="17">
        <f t="shared" si="104"/>
        <v>-0.42084520232470446</v>
      </c>
      <c r="T102" s="17">
        <f t="shared" si="105"/>
        <v>1.859869426567462</v>
      </c>
      <c r="U102" s="17">
        <f t="shared" si="106"/>
        <v>1.537065640552493</v>
      </c>
      <c r="W102" t="str">
        <f t="shared" si="107"/>
        <v>71 Sales occupations</v>
      </c>
      <c r="X102" s="17">
        <f t="shared" si="108"/>
        <v>-1.5939490116594901</v>
      </c>
      <c r="Y102" s="17">
        <f t="shared" si="108"/>
        <v>-0.24767207897521404</v>
      </c>
      <c r="Z102" s="17">
        <f t="shared" si="108"/>
        <v>-1.351607052085968</v>
      </c>
      <c r="AA102" s="17">
        <f t="shared" si="108"/>
        <v>-0.79647773299168501</v>
      </c>
      <c r="AB102" s="17">
        <f t="shared" si="109"/>
        <v>-0.98186707503322701</v>
      </c>
      <c r="AD102" s="17">
        <f t="shared" si="110"/>
        <v>-0.98186707503322701</v>
      </c>
      <c r="AE102" s="17">
        <f t="shared" si="111"/>
        <v>2.7621679184281156</v>
      </c>
      <c r="AF102" s="17">
        <f t="shared" si="112"/>
        <v>2.1074566552933938</v>
      </c>
    </row>
    <row r="103" spans="1:32" x14ac:dyDescent="0.2">
      <c r="A103" t="str">
        <f t="shared" si="95"/>
        <v>72 Customer service occupations</v>
      </c>
      <c r="B103" s="17">
        <f t="shared" si="96"/>
        <v>2.3997789627163701</v>
      </c>
      <c r="C103" s="17">
        <f t="shared" si="96"/>
        <v>4.5644632931846507</v>
      </c>
      <c r="D103" s="17">
        <f t="shared" si="96"/>
        <v>5.3094818056524939</v>
      </c>
      <c r="E103" s="17">
        <f t="shared" si="96"/>
        <v>1.3901035849408938</v>
      </c>
      <c r="F103" s="17">
        <f t="shared" si="97"/>
        <v>2.680081115174815</v>
      </c>
      <c r="H103" s="17">
        <f t="shared" si="98"/>
        <v>2.680081115174815</v>
      </c>
      <c r="I103" s="17">
        <f t="shared" si="99"/>
        <v>3.2418268193334265</v>
      </c>
      <c r="J103" s="17">
        <f t="shared" si="100"/>
        <v>5.0729015935165878</v>
      </c>
      <c r="K103" s="39"/>
      <c r="L103" t="str">
        <f t="shared" si="101"/>
        <v>72 Customer service occupations</v>
      </c>
      <c r="M103" s="17">
        <f t="shared" si="102"/>
        <v>-2.1529973760139876</v>
      </c>
      <c r="N103" s="17">
        <f t="shared" si="102"/>
        <v>18.631086692885802</v>
      </c>
      <c r="O103" s="17">
        <f t="shared" si="102"/>
        <v>6.6828888206346804</v>
      </c>
      <c r="P103" s="17">
        <f t="shared" si="102"/>
        <v>1.7771916876806682</v>
      </c>
      <c r="Q103" s="17">
        <f t="shared" si="103"/>
        <v>3.3868328353776178</v>
      </c>
      <c r="S103" s="17">
        <f t="shared" si="104"/>
        <v>3.3868328353776178</v>
      </c>
      <c r="T103" s="17">
        <f t="shared" si="105"/>
        <v>2.7294576551469829</v>
      </c>
      <c r="U103" s="17">
        <f t="shared" si="106"/>
        <v>5.2217918969940325</v>
      </c>
      <c r="W103" t="str">
        <f t="shared" si="107"/>
        <v>72 Customer service occupations</v>
      </c>
      <c r="X103" s="17">
        <f t="shared" si="108"/>
        <v>5.0189279082387905</v>
      </c>
      <c r="Y103" s="17">
        <f t="shared" si="108"/>
        <v>-2.210164882510357</v>
      </c>
      <c r="Z103" s="17">
        <f t="shared" si="108"/>
        <v>4.4726674977486169</v>
      </c>
      <c r="AA103" s="17">
        <f t="shared" si="108"/>
        <v>1.1316875697634066</v>
      </c>
      <c r="AB103" s="17">
        <f t="shared" si="109"/>
        <v>2.2333041834580625</v>
      </c>
      <c r="AD103" s="17">
        <f t="shared" si="110"/>
        <v>2.2333041834580625</v>
      </c>
      <c r="AE103" s="17">
        <f t="shared" si="111"/>
        <v>3.5254798310762281</v>
      </c>
      <c r="AF103" s="17">
        <f t="shared" si="112"/>
        <v>4.9845254801963002</v>
      </c>
    </row>
    <row r="104" spans="1:32" x14ac:dyDescent="0.2">
      <c r="A104" t="str">
        <f t="shared" si="95"/>
        <v>81 Process, plant and machine operatives</v>
      </c>
      <c r="B104" s="17">
        <f t="shared" si="96"/>
        <v>-0.9820775267963211</v>
      </c>
      <c r="C104" s="17">
        <f t="shared" si="96"/>
        <v>-11.881478179156568</v>
      </c>
      <c r="D104" s="17">
        <f t="shared" si="96"/>
        <v>3.9021057701553952</v>
      </c>
      <c r="E104" s="17">
        <f t="shared" si="96"/>
        <v>-5.5246126759445069E-2</v>
      </c>
      <c r="F104" s="17">
        <f t="shared" si="97"/>
        <v>1.2468340069772266</v>
      </c>
      <c r="H104" s="17">
        <f t="shared" si="98"/>
        <v>1.2468340069772266</v>
      </c>
      <c r="I104" s="17">
        <f t="shared" si="99"/>
        <v>2.5425042068548009</v>
      </c>
      <c r="J104" s="17">
        <f t="shared" si="100"/>
        <v>3.4431450232017546</v>
      </c>
      <c r="K104" s="39"/>
      <c r="L104" t="str">
        <f t="shared" si="101"/>
        <v>81 Process, plant and machine operatives</v>
      </c>
      <c r="M104" s="17">
        <f t="shared" si="102"/>
        <v>-1.6349353578496872</v>
      </c>
      <c r="N104" s="17">
        <f t="shared" si="102"/>
        <v>-11.725963867379342</v>
      </c>
      <c r="O104" s="17">
        <f t="shared" si="102"/>
        <v>3.4385687006109888</v>
      </c>
      <c r="P104" s="17">
        <f t="shared" si="102"/>
        <v>-0.42120890421508683</v>
      </c>
      <c r="Q104" s="17">
        <f t="shared" si="103"/>
        <v>0.84910937695172883</v>
      </c>
      <c r="S104" s="17">
        <f t="shared" si="104"/>
        <v>0.84910937695172883</v>
      </c>
      <c r="T104" s="17">
        <f t="shared" si="105"/>
        <v>2.2977494279397881</v>
      </c>
      <c r="U104" s="17">
        <f t="shared" si="106"/>
        <v>2.9259096148584351</v>
      </c>
      <c r="W104" t="str">
        <f t="shared" si="107"/>
        <v>81 Process, plant and machine operatives</v>
      </c>
      <c r="X104" s="17">
        <f t="shared" si="108"/>
        <v>1.4488669286876421</v>
      </c>
      <c r="Y104" s="17">
        <f t="shared" si="108"/>
        <v>-12.417717633949433</v>
      </c>
      <c r="Z104" s="17">
        <f t="shared" si="108"/>
        <v>5.4518488228239903</v>
      </c>
      <c r="AA104" s="17">
        <f t="shared" si="108"/>
        <v>1.0266582879522534</v>
      </c>
      <c r="AB104" s="17">
        <f t="shared" si="109"/>
        <v>2.480694052274024</v>
      </c>
      <c r="AD104" s="17">
        <f t="shared" si="110"/>
        <v>2.480694052274024</v>
      </c>
      <c r="AE104" s="17">
        <f t="shared" si="111"/>
        <v>3.3347452365042107</v>
      </c>
      <c r="AF104" s="17">
        <f t="shared" si="112"/>
        <v>5.0032088905385574</v>
      </c>
    </row>
    <row r="105" spans="1:32" x14ac:dyDescent="0.2">
      <c r="A105" t="str">
        <f t="shared" si="95"/>
        <v>82 Transport and mobile machine drivers and operatives</v>
      </c>
      <c r="B105" s="17">
        <f t="shared" si="96"/>
        <v>1.6275843456168504</v>
      </c>
      <c r="C105" s="17">
        <f t="shared" si="96"/>
        <v>-10.04846630132189</v>
      </c>
      <c r="D105" s="17">
        <f t="shared" si="96"/>
        <v>1.3515955974133353</v>
      </c>
      <c r="E105" s="17">
        <f t="shared" si="96"/>
        <v>0.25682702148221992</v>
      </c>
      <c r="F105" s="17">
        <f t="shared" si="97"/>
        <v>0.62042960431503147</v>
      </c>
      <c r="H105" s="17">
        <f t="shared" si="98"/>
        <v>0.62042960431503147</v>
      </c>
      <c r="I105" s="17">
        <f t="shared" si="99"/>
        <v>3.0474554601112924</v>
      </c>
      <c r="J105" s="17">
        <f t="shared" si="100"/>
        <v>3.461338897515609</v>
      </c>
      <c r="K105" s="39"/>
      <c r="L105" t="str">
        <f t="shared" si="101"/>
        <v>82 Transport and mobile machine drivers and operatives</v>
      </c>
      <c r="M105" s="17">
        <f t="shared" si="102"/>
        <v>1.4377273591791084</v>
      </c>
      <c r="N105" s="17">
        <f t="shared" si="102"/>
        <v>-10.097607953998233</v>
      </c>
      <c r="O105" s="17">
        <f t="shared" si="102"/>
        <v>0.78968729826134343</v>
      </c>
      <c r="P105" s="17">
        <f t="shared" si="102"/>
        <v>0.10201005181427192</v>
      </c>
      <c r="Q105" s="17">
        <f t="shared" si="103"/>
        <v>0.33071288585566627</v>
      </c>
      <c r="S105" s="17">
        <f t="shared" si="104"/>
        <v>0.33071288585566627</v>
      </c>
      <c r="T105" s="17">
        <f t="shared" si="105"/>
        <v>2.9141700193269227</v>
      </c>
      <c r="U105" s="17">
        <f t="shared" si="106"/>
        <v>3.1371578960828428</v>
      </c>
      <c r="W105" t="str">
        <f t="shared" si="107"/>
        <v>82 Transport and mobile machine drivers and operatives</v>
      </c>
      <c r="X105" s="17">
        <f t="shared" si="108"/>
        <v>3.8404253230985841</v>
      </c>
      <c r="Y105" s="17">
        <f t="shared" si="108"/>
        <v>-9.5081090358415601</v>
      </c>
      <c r="Z105" s="17">
        <f t="shared" si="108"/>
        <v>6.8034223317904319</v>
      </c>
      <c r="AA105" s="17">
        <f t="shared" si="108"/>
        <v>1.4481105341568101</v>
      </c>
      <c r="AB105" s="17">
        <f t="shared" si="109"/>
        <v>3.202693354552455</v>
      </c>
      <c r="AD105" s="17">
        <f t="shared" si="110"/>
        <v>3.202693354552455</v>
      </c>
      <c r="AE105" s="17">
        <f t="shared" si="111"/>
        <v>4.3655700830103061</v>
      </c>
      <c r="AF105" s="17">
        <f t="shared" si="112"/>
        <v>6.3071646642019585</v>
      </c>
    </row>
    <row r="106" spans="1:32" x14ac:dyDescent="0.2">
      <c r="A106" t="str">
        <f t="shared" si="95"/>
        <v>91 Elementary trades and related occupations</v>
      </c>
      <c r="B106" s="17">
        <f t="shared" si="96"/>
        <v>-2.9526598521600667</v>
      </c>
      <c r="C106" s="17">
        <f t="shared" si="96"/>
        <v>-10.085402474737315</v>
      </c>
      <c r="D106" s="17">
        <f t="shared" si="96"/>
        <v>-2.3871017748286816</v>
      </c>
      <c r="E106" s="17">
        <f t="shared" si="96"/>
        <v>-6.1235322223740507E-2</v>
      </c>
      <c r="F106" s="17">
        <f t="shared" si="97"/>
        <v>-0.84261754039369752</v>
      </c>
      <c r="H106" s="17">
        <f t="shared" si="98"/>
        <v>-0.84261754039369752</v>
      </c>
      <c r="I106" s="17">
        <f t="shared" si="99"/>
        <v>2.0184784827131264</v>
      </c>
      <c r="J106" s="17">
        <f t="shared" si="100"/>
        <v>1.3914597838034615</v>
      </c>
      <c r="K106" s="39"/>
      <c r="L106" t="str">
        <f t="shared" si="101"/>
        <v>91 Elementary trades and related occupations</v>
      </c>
      <c r="M106" s="17">
        <f t="shared" si="102"/>
        <v>-2.9589126001317689</v>
      </c>
      <c r="N106" s="17">
        <f t="shared" si="102"/>
        <v>-8.8128505416071867</v>
      </c>
      <c r="O106" s="17">
        <f t="shared" si="102"/>
        <v>-2.7036301815497987</v>
      </c>
      <c r="P106" s="17">
        <f t="shared" si="102"/>
        <v>-7.2722293640592461E-2</v>
      </c>
      <c r="Q106" s="17">
        <f t="shared" si="103"/>
        <v>-0.95750252576249917</v>
      </c>
      <c r="S106" s="17">
        <f t="shared" si="104"/>
        <v>-0.95750252576249917</v>
      </c>
      <c r="T106" s="17">
        <f t="shared" si="105"/>
        <v>1.6796100918287538</v>
      </c>
      <c r="U106" s="17">
        <f t="shared" si="106"/>
        <v>0.9328500576964327</v>
      </c>
      <c r="W106" t="str">
        <f t="shared" si="107"/>
        <v>91 Elementary trades and related occupations</v>
      </c>
      <c r="X106" s="17">
        <f t="shared" si="108"/>
        <v>-2.9345577319370486</v>
      </c>
      <c r="Y106" s="17">
        <f t="shared" si="108"/>
        <v>-13.767214280490892</v>
      </c>
      <c r="Z106" s="17">
        <f t="shared" si="108"/>
        <v>-1.4433756087820382</v>
      </c>
      <c r="AA106" s="17">
        <f t="shared" si="108"/>
        <v>-2.8347200196299216E-2</v>
      </c>
      <c r="AB106" s="17">
        <f t="shared" si="109"/>
        <v>-0.50226641741453193</v>
      </c>
      <c r="AD106" s="17">
        <f t="shared" si="110"/>
        <v>-0.50226641741453193</v>
      </c>
      <c r="AE106" s="17">
        <f t="shared" si="111"/>
        <v>2.9671631256914077</v>
      </c>
      <c r="AF106" s="17">
        <f t="shared" si="112"/>
        <v>2.6378232146636593</v>
      </c>
    </row>
    <row r="107" spans="1:32" x14ac:dyDescent="0.2">
      <c r="A107" t="str">
        <f t="shared" si="95"/>
        <v>92 Elementary administration and service occupations</v>
      </c>
      <c r="B107" s="17">
        <f t="shared" si="96"/>
        <v>0.38288097216609973</v>
      </c>
      <c r="C107" s="17">
        <f t="shared" si="96"/>
        <v>-6.2152206940247705</v>
      </c>
      <c r="D107" s="17">
        <f t="shared" si="96"/>
        <v>1.1701233927950527</v>
      </c>
      <c r="E107" s="17">
        <f t="shared" si="96"/>
        <v>-0.25481383780927569</v>
      </c>
      <c r="F107" s="17">
        <f t="shared" si="97"/>
        <v>0.2179212062018987</v>
      </c>
      <c r="H107" s="17">
        <f t="shared" si="98"/>
        <v>0.2179212062018987</v>
      </c>
      <c r="I107" s="17">
        <f t="shared" si="99"/>
        <v>2.7488117673614143</v>
      </c>
      <c r="J107" s="17">
        <f t="shared" si="100"/>
        <v>2.898649926984076</v>
      </c>
      <c r="K107" s="39"/>
      <c r="L107" t="str">
        <f t="shared" si="101"/>
        <v>92 Elementary administration and service occupations</v>
      </c>
      <c r="M107" s="17">
        <f t="shared" si="102"/>
        <v>-2.1091842528441984</v>
      </c>
      <c r="N107" s="17">
        <f t="shared" si="102"/>
        <v>0.60680650773210498</v>
      </c>
      <c r="O107" s="17">
        <f t="shared" si="102"/>
        <v>1.7796282890820914</v>
      </c>
      <c r="P107" s="17">
        <f t="shared" si="102"/>
        <v>-0.48728695150033197</v>
      </c>
      <c r="Q107" s="17">
        <f t="shared" si="103"/>
        <v>0.26268513962004469</v>
      </c>
      <c r="S107" s="17">
        <f t="shared" si="104"/>
        <v>0.26268513962004469</v>
      </c>
      <c r="T107" s="17">
        <f t="shared" si="105"/>
        <v>2.3484755993286477</v>
      </c>
      <c r="U107" s="17">
        <f t="shared" si="106"/>
        <v>2.5392950821105709</v>
      </c>
      <c r="W107" t="str">
        <f t="shared" si="107"/>
        <v>92 Elementary administration and service occupations</v>
      </c>
      <c r="X107" s="17">
        <f t="shared" si="108"/>
        <v>2.7375632216954271</v>
      </c>
      <c r="Y107" s="17">
        <f t="shared" si="108"/>
        <v>-11.927276710793722</v>
      </c>
      <c r="Z107" s="17">
        <f t="shared" si="108"/>
        <v>0.5730870593916082</v>
      </c>
      <c r="AA107" s="17">
        <f t="shared" si="108"/>
        <v>-2.3687323511567548E-2</v>
      </c>
      <c r="AB107" s="17">
        <f t="shared" si="109"/>
        <v>0.17484297366197055</v>
      </c>
      <c r="AD107" s="17">
        <f t="shared" si="110"/>
        <v>0.17484297366197055</v>
      </c>
      <c r="AE107" s="17">
        <f t="shared" si="111"/>
        <v>3.1123056975228991</v>
      </c>
      <c r="AF107" s="17">
        <f t="shared" si="112"/>
        <v>3.2266592529030191</v>
      </c>
    </row>
    <row r="108" spans="1:32" x14ac:dyDescent="0.2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2">
      <c r="A109" s="23" t="str">
        <f>A35</f>
        <v>All occupations</v>
      </c>
      <c r="B109" s="25">
        <f>IF(AND(C$6-B$6 &lt;&gt; 0,B35&lt;&gt;0,C35&lt;&gt;0),(EXP(LN(C35/B35)/(C$6-B$6))-1)*100,0)</f>
        <v>1.2559705559315848</v>
      </c>
      <c r="C109" s="25">
        <f>IF(AND(D$6-C$6 &lt;&gt; 0,C35&lt;&gt;0,D35&lt;&gt;0),(EXP(LN(D35/C35)/(D$6-C$6))-1)*100,0)</f>
        <v>-1.0978671602069556</v>
      </c>
      <c r="D109" s="25">
        <f>IF(AND(E$6-D$6 &lt;&gt; 0,D35&lt;&gt;0,E35&lt;&gt;0),(EXP(LN(E35/D35)/(E$6-D$6))-1)*100,0)</f>
        <v>0.86600469906554789</v>
      </c>
      <c r="E109" s="25">
        <f>IF(AND(F$6-E$6 &lt;&gt; 0,E35&lt;&gt;0,F35&lt;&gt;0),(EXP(LN(F35/E35)/(F$6-E$6))-1)*100,0)</f>
        <v>0.57793117804305627</v>
      </c>
      <c r="F109" s="25">
        <f t="shared" ref="F109" si="113">IF(AND(F$6-D$6 &lt;&gt; 0,D35&lt;&gt;0,F35&lt;&gt;0),(EXP(LN(F35/D35)/(F$6-D$6))-1)*100,0)</f>
        <v>0.6738641534223655</v>
      </c>
      <c r="H109" s="25">
        <f>IF($F$6-$D$6 &lt;&gt; 0,(EXP(LN(1+(H72/100))/($F$6-$D$6))-1)*100,0)</f>
        <v>0.6738641534223655</v>
      </c>
      <c r="I109" s="25">
        <f>IF(D35&gt;0,((1+(I35/D35))^(1/($F$6-$D$6))-1)*100,0)</f>
        <v>2.7926719836061098</v>
      </c>
      <c r="J109" s="25">
        <f t="shared" ref="J109" si="114">IF($F$6-$D$6 &lt;&gt; 0,(EXP(LN(1+(J72/100))/($F$6-$D$6))-1)*100,0)</f>
        <v>3.2581343764680692</v>
      </c>
      <c r="L109" s="23" t="str">
        <f>L35</f>
        <v>All occupations</v>
      </c>
      <c r="M109" s="25">
        <f>IF(AND(N$6-M$6 &lt;&gt; 0,M35&lt;&gt;0,N35&lt;&gt;0),(EXP(LN(N35/M35)/(N$6-M$6))-1)*100,0)</f>
        <v>0.6748072706729058</v>
      </c>
      <c r="N109" s="25">
        <f>IF(AND(O$6-N$6 &lt;&gt; 0,N35&lt;&gt;0,O35&lt;&gt;0),(EXP(LN(O35/N35)/(O$6-N$6))-1)*100,0)</f>
        <v>-1.8374961090095399</v>
      </c>
      <c r="O109" s="25">
        <f>IF(AND(P$6-O$6 &lt;&gt; 0,O35&lt;&gt;0,P35&lt;&gt;0),(EXP(LN(P35/O35)/(P$6-O$6))-1)*100,0)</f>
        <v>0.74108349183938937</v>
      </c>
      <c r="P109" s="25">
        <f>IF(AND(Q$6-P$6 &lt;&gt; 0,P35&lt;&gt;0,Q35&lt;&gt;0),(EXP(LN(Q35/P35)/(Q$6-P$6))-1)*100,0)</f>
        <v>0.48281169165986793</v>
      </c>
      <c r="Q109" s="25">
        <f t="shared" ref="Q109" si="115">IF(AND(Q$6-O$6 &lt;&gt; 0,O35&lt;&gt;0,Q35&lt;&gt;0),(EXP(LN(Q35/O35)/(Q$6-O$6))-1)*100,0)</f>
        <v>0.56882863707150566</v>
      </c>
      <c r="S109" s="25">
        <f t="shared" ref="S109" si="116">IF($F$6-$D$6 &lt;&gt; 0,(EXP(LN(1+(S72/100))/($F$6-$D$6))-1)*100,0)</f>
        <v>0.56882863707150566</v>
      </c>
      <c r="T109" s="25">
        <f t="shared" ref="T109" si="117">IF(O35&gt;0,((1+(T35/O35))^(1/($F$6-$D$6))-1)*100,0)</f>
        <v>2.3804942803563156</v>
      </c>
      <c r="U109" s="25">
        <f t="shared" ref="U109" si="118">IF($F$6-$D$6 &lt;&gt; 0,(EXP(LN(1+(U72/100))/($F$6-$D$6))-1)*100,0)</f>
        <v>2.7944754776858316</v>
      </c>
      <c r="W109" s="23" t="str">
        <f>W35</f>
        <v>All occupations</v>
      </c>
      <c r="X109" s="25">
        <f>IF(AND(Y$6-X$6 &lt;&gt; 0,X35&lt;&gt;0,Y35&lt;&gt;0),(EXP(LN(Y35/X35)/(Y$6-X$6))-1)*100,0)</f>
        <v>1.8866615348276827</v>
      </c>
      <c r="Y109" s="25">
        <f>IF(AND(Z$6-Y$6 &lt;&gt; 0,Y35&lt;&gt;0,Z35&lt;&gt;0),(EXP(LN(Z35/Y35)/(Z$6-Y$6))-1)*100,0)</f>
        <v>-0.31885809983958069</v>
      </c>
      <c r="Z109" s="25">
        <f>IF(AND(AA$6-Z$6 &lt;&gt; 0,Z35&lt;&gt;0,AA35&lt;&gt;0),(EXP(LN(AA35/Z35)/(AA$6-Z$6))-1)*100,0)</f>
        <v>0.99492209370750651</v>
      </c>
      <c r="AA109" s="25">
        <f>IF(AND(AB$6-AA$6 &lt;&gt; 0,AA35&lt;&gt;0,AB35&lt;&gt;0),(EXP(LN(AB35/AA35)/(AB$6-AA$6))-1)*100,0)</f>
        <v>0.67452313511298101</v>
      </c>
      <c r="AB109" s="25">
        <f t="shared" ref="AB109" si="119">IF(AND(AB$6-Z$6 &lt;&gt; 0,Z35&lt;&gt;0,AB35&lt;&gt;0),(EXP(LN(AB35/Z35)/(AB$6-Z$6))-1)*100,0)</f>
        <v>0.78120969043034005</v>
      </c>
      <c r="AD109" s="25">
        <f t="shared" ref="AD109" si="120">IF($F$6-$D$6 &lt;&gt; 0,(EXP(LN(1+(AD72/100))/($F$6-$D$6))-1)*100,0)</f>
        <v>0.78120969043034005</v>
      </c>
      <c r="AE109" s="25">
        <f t="shared" ref="AE109" si="121">IF(Z35&gt;0,((1+(AE35/Z35))^(1/($F$6-$D$6))-1)*100,0)</f>
        <v>3.1970597074383988</v>
      </c>
      <c r="AF109" s="25">
        <f t="shared" ref="AF109" si="122">IF($F$6-$D$6 &lt;&gt; 0,(EXP(LN(1+(AF72/100))/($F$6-$D$6))-1)*100,0)</f>
        <v>3.7101002590096632</v>
      </c>
    </row>
    <row r="112" spans="1:32" ht="15.75" x14ac:dyDescent="0.25">
      <c r="A112" s="18" t="str">
        <f>CONCATENATE(A$1," (Continued)")</f>
        <v>Occupation Table 2  Employment Change by Occupation (SOC 2020) and Replacement Demand, 2015-2035, South West (Continued)</v>
      </c>
      <c r="L112" s="18" t="str">
        <f>CONCATENATE(L$1," (Continued)")</f>
        <v>Occupation Table 2.1  Males: Employment Change by Occupation (SOC 2020) and Replacement Demand, 2015-2035, South West (Continued)</v>
      </c>
      <c r="W112" s="18" t="str">
        <f>CONCATENATE(W$1," (Continued)")</f>
        <v>Occupation Table 2.2  Females: Employment Change by Occupation (SOC 2020) and Replacement Demand, 2015-2035, South West (Continued)</v>
      </c>
    </row>
    <row r="114" spans="1:28" x14ac:dyDescent="0.2">
      <c r="F114" s="15" t="s">
        <v>35</v>
      </c>
      <c r="Q114" s="15" t="s">
        <v>35</v>
      </c>
      <c r="AB114" s="15" t="s">
        <v>35</v>
      </c>
    </row>
    <row r="115" spans="1:28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2">
      <c r="A119" t="str">
        <f t="shared" ref="A119:A144" si="123">A8</f>
        <v>11 Corporate managers and directors</v>
      </c>
      <c r="B119" s="26">
        <f t="shared" ref="B119:E144" si="124">C8-B8</f>
        <v>35.309898327226051</v>
      </c>
      <c r="C119" s="26">
        <f t="shared" si="124"/>
        <v>6.8265254473217567</v>
      </c>
      <c r="D119" s="26">
        <f t="shared" si="124"/>
        <v>-13.542158995272871</v>
      </c>
      <c r="E119" s="26">
        <f t="shared" si="124"/>
        <v>21.719906427876253</v>
      </c>
      <c r="F119" s="26">
        <f t="shared" ref="F119:F144" si="125">F8-D8</f>
        <v>8.1777474326033825</v>
      </c>
      <c r="L119" t="str">
        <f t="shared" ref="L119:L144" si="126">L8</f>
        <v>11 Corporate managers and directors</v>
      </c>
      <c r="M119" s="26">
        <f t="shared" ref="M119:P144" si="127">N8-M8</f>
        <v>17.582777733527692</v>
      </c>
      <c r="N119" s="26">
        <f t="shared" si="127"/>
        <v>1.8087078373749819</v>
      </c>
      <c r="O119" s="26">
        <f t="shared" si="127"/>
        <v>-12.665507134726511</v>
      </c>
      <c r="P119" s="26">
        <f t="shared" si="127"/>
        <v>8.7102670368720396</v>
      </c>
      <c r="Q119" s="26">
        <f t="shared" ref="Q119:Q144" si="128">Q8-O8</f>
        <v>-3.9552400978544711</v>
      </c>
      <c r="W119" t="str">
        <f t="shared" ref="W119:W144" si="129">W8</f>
        <v>11 Corporate managers and directors</v>
      </c>
      <c r="X119" s="26">
        <f t="shared" ref="X119:AA144" si="130">Y8-X8</f>
        <v>17.727120593699276</v>
      </c>
      <c r="Y119" s="26">
        <f t="shared" si="130"/>
        <v>5.0178176099457232</v>
      </c>
      <c r="Z119" s="26">
        <f t="shared" si="130"/>
        <v>-0.87665186054586286</v>
      </c>
      <c r="AA119" s="26">
        <f t="shared" si="130"/>
        <v>13.009639391003986</v>
      </c>
      <c r="AB119" s="26">
        <f t="shared" ref="AB119:AB144" si="131">AB8-Z8</f>
        <v>12.132987530458124</v>
      </c>
    </row>
    <row r="120" spans="1:28" x14ac:dyDescent="0.2">
      <c r="A120" t="str">
        <f t="shared" si="123"/>
        <v>12 Other managers and proprietors</v>
      </c>
      <c r="B120" s="26">
        <f t="shared" si="124"/>
        <v>11.083166179879498</v>
      </c>
      <c r="C120" s="26">
        <f t="shared" si="124"/>
        <v>1.7341077575905359</v>
      </c>
      <c r="D120" s="26">
        <f t="shared" si="124"/>
        <v>27.871872179229371</v>
      </c>
      <c r="E120" s="26">
        <f t="shared" si="124"/>
        <v>21.427851427217092</v>
      </c>
      <c r="F120" s="26">
        <f t="shared" si="125"/>
        <v>49.299723606446463</v>
      </c>
      <c r="L120" t="str">
        <f t="shared" si="126"/>
        <v>12 Other managers and proprietors</v>
      </c>
      <c r="M120" s="26">
        <f t="shared" si="127"/>
        <v>6.5123223552044962</v>
      </c>
      <c r="N120" s="26">
        <f t="shared" si="127"/>
        <v>-2.2050339129032182</v>
      </c>
      <c r="O120" s="26">
        <f t="shared" si="127"/>
        <v>19.039945663079138</v>
      </c>
      <c r="P120" s="26">
        <f t="shared" si="127"/>
        <v>14.89764777927725</v>
      </c>
      <c r="Q120" s="26">
        <f t="shared" si="128"/>
        <v>33.937593442356388</v>
      </c>
      <c r="W120" t="str">
        <f t="shared" si="129"/>
        <v>12 Other managers and proprietors</v>
      </c>
      <c r="X120" s="26">
        <f t="shared" si="130"/>
        <v>4.5708438246746681</v>
      </c>
      <c r="Y120" s="26">
        <f t="shared" si="130"/>
        <v>3.9391416704937043</v>
      </c>
      <c r="Z120" s="26">
        <f t="shared" si="130"/>
        <v>8.8319265161507872</v>
      </c>
      <c r="AA120" s="26">
        <f t="shared" si="130"/>
        <v>6.5302036479396293</v>
      </c>
      <c r="AB120" s="26">
        <f t="shared" si="131"/>
        <v>15.362130164090416</v>
      </c>
    </row>
    <row r="121" spans="1:28" x14ac:dyDescent="0.2">
      <c r="A121" t="str">
        <f t="shared" si="123"/>
        <v>21 Science, research, engineering and technology professionals</v>
      </c>
      <c r="B121" s="26">
        <f t="shared" si="124"/>
        <v>21.997243602936237</v>
      </c>
      <c r="C121" s="26">
        <f t="shared" si="124"/>
        <v>5.4416292694873789</v>
      </c>
      <c r="D121" s="26">
        <f t="shared" si="124"/>
        <v>11.75285753013452</v>
      </c>
      <c r="E121" s="26">
        <f t="shared" si="124"/>
        <v>22.999387931318523</v>
      </c>
      <c r="F121" s="26">
        <f t="shared" si="125"/>
        <v>34.752245461453043</v>
      </c>
      <c r="L121" t="str">
        <f t="shared" si="126"/>
        <v>21 Science, research, engineering and technology professionals</v>
      </c>
      <c r="M121" s="26">
        <f t="shared" si="127"/>
        <v>18.010754420180291</v>
      </c>
      <c r="N121" s="26">
        <f t="shared" si="127"/>
        <v>-1.1283589840473951</v>
      </c>
      <c r="O121" s="26">
        <f t="shared" si="127"/>
        <v>4.1047037379835558</v>
      </c>
      <c r="P121" s="26">
        <f t="shared" si="127"/>
        <v>13.745027968246291</v>
      </c>
      <c r="Q121" s="26">
        <f t="shared" si="128"/>
        <v>17.849731706229846</v>
      </c>
      <c r="W121" t="str">
        <f t="shared" si="129"/>
        <v>21 Science, research, engineering and technology professionals</v>
      </c>
      <c r="X121" s="26">
        <f t="shared" si="130"/>
        <v>3.986489182755772</v>
      </c>
      <c r="Y121" s="26">
        <f t="shared" si="130"/>
        <v>6.5699882535344081</v>
      </c>
      <c r="Z121" s="26">
        <f t="shared" si="130"/>
        <v>7.6481537921509783</v>
      </c>
      <c r="AA121" s="26">
        <f t="shared" si="130"/>
        <v>9.2543599630721616</v>
      </c>
      <c r="AB121" s="26">
        <f t="shared" si="131"/>
        <v>16.90251375522314</v>
      </c>
    </row>
    <row r="122" spans="1:28" x14ac:dyDescent="0.2">
      <c r="A122" t="str">
        <f t="shared" si="123"/>
        <v>22 Health professionals</v>
      </c>
      <c r="B122" s="26">
        <f t="shared" si="124"/>
        <v>14.172697494874527</v>
      </c>
      <c r="C122" s="26">
        <f t="shared" si="124"/>
        <v>-1.2501199320968226</v>
      </c>
      <c r="D122" s="26">
        <f t="shared" si="124"/>
        <v>15.948676585719085</v>
      </c>
      <c r="E122" s="26">
        <f t="shared" si="124"/>
        <v>23.946592595993593</v>
      </c>
      <c r="F122" s="26">
        <f t="shared" si="125"/>
        <v>39.895269181712678</v>
      </c>
      <c r="L122" t="str">
        <f t="shared" si="126"/>
        <v>22 Health professionals</v>
      </c>
      <c r="M122" s="26">
        <f t="shared" si="127"/>
        <v>2.0827233434170864</v>
      </c>
      <c r="N122" s="26">
        <f t="shared" si="127"/>
        <v>3.8982800020585984</v>
      </c>
      <c r="O122" s="26">
        <f t="shared" si="127"/>
        <v>4.6002082060809641</v>
      </c>
      <c r="P122" s="26">
        <f t="shared" si="127"/>
        <v>7.3512273801663</v>
      </c>
      <c r="Q122" s="26">
        <f t="shared" si="128"/>
        <v>11.951435586247264</v>
      </c>
      <c r="W122" t="str">
        <f t="shared" si="129"/>
        <v>22 Health professionals</v>
      </c>
      <c r="X122" s="26">
        <f t="shared" si="130"/>
        <v>12.089974151457554</v>
      </c>
      <c r="Y122" s="26">
        <f t="shared" si="130"/>
        <v>-5.148399934155762</v>
      </c>
      <c r="Z122" s="26">
        <f t="shared" si="130"/>
        <v>11.348468379638177</v>
      </c>
      <c r="AA122" s="26">
        <f t="shared" si="130"/>
        <v>16.595365215827528</v>
      </c>
      <c r="AB122" s="26">
        <f t="shared" si="131"/>
        <v>27.943833595465705</v>
      </c>
    </row>
    <row r="123" spans="1:28" x14ac:dyDescent="0.2">
      <c r="A123" t="str">
        <f t="shared" si="123"/>
        <v>23 Teaching and other educational professionals</v>
      </c>
      <c r="B123" s="26">
        <f t="shared" si="124"/>
        <v>14.12952461683733</v>
      </c>
      <c r="C123" s="26">
        <f t="shared" si="124"/>
        <v>1.076075908749857</v>
      </c>
      <c r="D123" s="26">
        <f t="shared" si="124"/>
        <v>8.5101379178067873</v>
      </c>
      <c r="E123" s="26">
        <f t="shared" si="124"/>
        <v>16.875164481286362</v>
      </c>
      <c r="F123" s="26">
        <f t="shared" si="125"/>
        <v>25.385302399093149</v>
      </c>
      <c r="L123" t="str">
        <f t="shared" si="126"/>
        <v>23 Teaching and other educational professionals</v>
      </c>
      <c r="M123" s="26">
        <f t="shared" si="127"/>
        <v>2.5405024166234682</v>
      </c>
      <c r="N123" s="26">
        <f t="shared" si="127"/>
        <v>-3.0573562861752706</v>
      </c>
      <c r="O123" s="26">
        <f t="shared" si="127"/>
        <v>4.4404806569234978</v>
      </c>
      <c r="P123" s="26">
        <f t="shared" si="127"/>
        <v>5.065876009304958</v>
      </c>
      <c r="Q123" s="26">
        <f t="shared" si="128"/>
        <v>9.5063566662284558</v>
      </c>
      <c r="W123" t="str">
        <f t="shared" si="129"/>
        <v>23 Teaching and other educational professionals</v>
      </c>
      <c r="X123" s="26">
        <f t="shared" si="130"/>
        <v>11.589022200213435</v>
      </c>
      <c r="Y123" s="26">
        <f t="shared" si="130"/>
        <v>4.1334321949255326</v>
      </c>
      <c r="Z123" s="26">
        <f t="shared" si="130"/>
        <v>4.0696572608830621</v>
      </c>
      <c r="AA123" s="26">
        <f t="shared" si="130"/>
        <v>11.809288471981617</v>
      </c>
      <c r="AB123" s="26">
        <f t="shared" si="131"/>
        <v>15.878945732864679</v>
      </c>
    </row>
    <row r="124" spans="1:28" x14ac:dyDescent="0.2">
      <c r="A124" t="str">
        <f t="shared" si="123"/>
        <v>24 Business, media and public service professionals</v>
      </c>
      <c r="B124" s="26">
        <f t="shared" si="124"/>
        <v>26.546524369851085</v>
      </c>
      <c r="C124" s="26">
        <f t="shared" si="124"/>
        <v>15.327411587303175</v>
      </c>
      <c r="D124" s="26">
        <f t="shared" si="124"/>
        <v>26.159904561623335</v>
      </c>
      <c r="E124" s="26">
        <f t="shared" si="124"/>
        <v>30.878410763856124</v>
      </c>
      <c r="F124" s="26">
        <f t="shared" si="125"/>
        <v>57.038315325479459</v>
      </c>
      <c r="L124" t="str">
        <f t="shared" si="126"/>
        <v>24 Business, media and public service professionals</v>
      </c>
      <c r="M124" s="26">
        <f t="shared" si="127"/>
        <v>10.35726156974475</v>
      </c>
      <c r="N124" s="26">
        <f t="shared" si="127"/>
        <v>5.4981199597138755</v>
      </c>
      <c r="O124" s="26">
        <f t="shared" si="127"/>
        <v>15.202215068665296</v>
      </c>
      <c r="P124" s="26">
        <f t="shared" si="127"/>
        <v>14.09281129366488</v>
      </c>
      <c r="Q124" s="26">
        <f t="shared" si="128"/>
        <v>29.295026362330177</v>
      </c>
      <c r="W124" t="str">
        <f t="shared" si="129"/>
        <v>24 Business, media and public service professionals</v>
      </c>
      <c r="X124" s="26">
        <f t="shared" si="130"/>
        <v>16.189262800106462</v>
      </c>
      <c r="Y124" s="26">
        <f t="shared" si="130"/>
        <v>9.8292916275901661</v>
      </c>
      <c r="Z124" s="26">
        <f t="shared" si="130"/>
        <v>10.957689492957343</v>
      </c>
      <c r="AA124" s="26">
        <f t="shared" si="130"/>
        <v>16.785599470192025</v>
      </c>
      <c r="AB124" s="26">
        <f t="shared" si="131"/>
        <v>27.743288963149368</v>
      </c>
    </row>
    <row r="125" spans="1:28" x14ac:dyDescent="0.2">
      <c r="A125" t="str">
        <f t="shared" si="123"/>
        <v>31 Science, engineering and technology associate professionals</v>
      </c>
      <c r="B125" s="26">
        <f t="shared" si="124"/>
        <v>8.3292363515161014</v>
      </c>
      <c r="C125" s="26">
        <f t="shared" si="124"/>
        <v>4.9026209241934211</v>
      </c>
      <c r="D125" s="26">
        <f t="shared" si="124"/>
        <v>-6.3398626423415791</v>
      </c>
      <c r="E125" s="26">
        <f t="shared" si="124"/>
        <v>3.8078526699410702</v>
      </c>
      <c r="F125" s="26">
        <f t="shared" si="125"/>
        <v>-2.532009972400509</v>
      </c>
      <c r="L125" t="str">
        <f t="shared" si="126"/>
        <v>31 Science, engineering and technology associate professionals</v>
      </c>
      <c r="M125" s="26">
        <f t="shared" si="127"/>
        <v>7.1493844904400277</v>
      </c>
      <c r="N125" s="26">
        <f t="shared" si="127"/>
        <v>1.693516022829705</v>
      </c>
      <c r="O125" s="26">
        <f t="shared" si="127"/>
        <v>-7.0471830628701611</v>
      </c>
      <c r="P125" s="26">
        <f t="shared" si="127"/>
        <v>0.70355774190847598</v>
      </c>
      <c r="Q125" s="26">
        <f t="shared" si="128"/>
        <v>-6.3436253209616851</v>
      </c>
      <c r="W125" t="str">
        <f t="shared" si="129"/>
        <v>31 Science, engineering and technology associate professionals</v>
      </c>
      <c r="X125" s="26">
        <f t="shared" si="130"/>
        <v>1.1798518610760524</v>
      </c>
      <c r="Y125" s="26">
        <f t="shared" si="130"/>
        <v>3.2091049013638457</v>
      </c>
      <c r="Z125" s="26">
        <f t="shared" si="130"/>
        <v>0.70732042052840782</v>
      </c>
      <c r="AA125" s="26">
        <f t="shared" si="130"/>
        <v>3.1042949280326013</v>
      </c>
      <c r="AB125" s="26">
        <f t="shared" si="131"/>
        <v>3.8116153485610091</v>
      </c>
    </row>
    <row r="126" spans="1:28" x14ac:dyDescent="0.2">
      <c r="A126" t="str">
        <f t="shared" si="123"/>
        <v>32 Health and social care associate professionals</v>
      </c>
      <c r="B126" s="26">
        <f t="shared" si="124"/>
        <v>3.7392166987961417</v>
      </c>
      <c r="C126" s="26">
        <f t="shared" si="124"/>
        <v>0.44863539134903618</v>
      </c>
      <c r="D126" s="26">
        <f t="shared" si="124"/>
        <v>2.6545625348753603</v>
      </c>
      <c r="E126" s="26">
        <f t="shared" si="124"/>
        <v>8.8122382450655792</v>
      </c>
      <c r="F126" s="26">
        <f t="shared" si="125"/>
        <v>11.466800779940939</v>
      </c>
      <c r="L126" t="str">
        <f t="shared" si="126"/>
        <v>32 Health and social care associate professionals</v>
      </c>
      <c r="M126" s="26">
        <f t="shared" si="127"/>
        <v>-0.87861602387962101</v>
      </c>
      <c r="N126" s="26">
        <f t="shared" si="127"/>
        <v>1.4439967543072498</v>
      </c>
      <c r="O126" s="26">
        <f t="shared" si="127"/>
        <v>-0.48876887615799447</v>
      </c>
      <c r="P126" s="26">
        <f t="shared" si="127"/>
        <v>1.5387628138368861</v>
      </c>
      <c r="Q126" s="26">
        <f t="shared" si="128"/>
        <v>1.0499939376788916</v>
      </c>
      <c r="W126" t="str">
        <f t="shared" si="129"/>
        <v>32 Health and social care associate professionals</v>
      </c>
      <c r="X126" s="26">
        <f t="shared" si="130"/>
        <v>4.6178327226757503</v>
      </c>
      <c r="Y126" s="26">
        <f t="shared" si="130"/>
        <v>-0.99536136295818523</v>
      </c>
      <c r="Z126" s="26">
        <f t="shared" si="130"/>
        <v>3.1433314110333797</v>
      </c>
      <c r="AA126" s="26">
        <f t="shared" si="130"/>
        <v>7.2734754312286043</v>
      </c>
      <c r="AB126" s="26">
        <f t="shared" si="131"/>
        <v>10.416806842261984</v>
      </c>
    </row>
    <row r="127" spans="1:28" x14ac:dyDescent="0.2">
      <c r="A127" t="str">
        <f t="shared" si="123"/>
        <v>33 Protective service occupations</v>
      </c>
      <c r="B127" s="26">
        <f t="shared" si="124"/>
        <v>0.73817965684684239</v>
      </c>
      <c r="C127" s="26">
        <f t="shared" si="124"/>
        <v>1.5405933412817205</v>
      </c>
      <c r="D127" s="26">
        <f t="shared" si="124"/>
        <v>4.7711122525461747</v>
      </c>
      <c r="E127" s="26">
        <f t="shared" si="124"/>
        <v>3.9929843396335976</v>
      </c>
      <c r="F127" s="26">
        <f t="shared" si="125"/>
        <v>8.7640965921797722</v>
      </c>
      <c r="L127" t="str">
        <f t="shared" si="126"/>
        <v>33 Protective service occupations</v>
      </c>
      <c r="M127" s="26">
        <f t="shared" si="127"/>
        <v>4.4114889830078496E-2</v>
      </c>
      <c r="N127" s="26">
        <f t="shared" si="127"/>
        <v>0.96250865574717182</v>
      </c>
      <c r="O127" s="26">
        <f t="shared" si="127"/>
        <v>2.7550382648375962</v>
      </c>
      <c r="P127" s="26">
        <f t="shared" si="127"/>
        <v>1.818419885382248</v>
      </c>
      <c r="Q127" s="26">
        <f t="shared" si="128"/>
        <v>4.5734581502198441</v>
      </c>
      <c r="W127" t="str">
        <f t="shared" si="129"/>
        <v>33 Protective service occupations</v>
      </c>
      <c r="X127" s="26">
        <f t="shared" si="130"/>
        <v>0.69406476701678255</v>
      </c>
      <c r="Y127" s="26">
        <f t="shared" si="130"/>
        <v>0.57808468553450876</v>
      </c>
      <c r="Z127" s="26">
        <f t="shared" si="130"/>
        <v>2.0160739877086202</v>
      </c>
      <c r="AA127" s="26">
        <f t="shared" si="130"/>
        <v>2.1745644542513691</v>
      </c>
      <c r="AB127" s="26">
        <f t="shared" si="131"/>
        <v>4.1906384419599894</v>
      </c>
    </row>
    <row r="128" spans="1:28" x14ac:dyDescent="0.2">
      <c r="A128" t="str">
        <f t="shared" si="123"/>
        <v>34 Culture, media and sports occupations</v>
      </c>
      <c r="B128" s="26">
        <f t="shared" si="124"/>
        <v>5.0088836556614922</v>
      </c>
      <c r="C128" s="26">
        <f t="shared" si="124"/>
        <v>-0.45491898027739808</v>
      </c>
      <c r="D128" s="26">
        <f t="shared" si="124"/>
        <v>3.2086467374500316</v>
      </c>
      <c r="E128" s="26">
        <f t="shared" si="124"/>
        <v>10.464952850207013</v>
      </c>
      <c r="F128" s="26">
        <f t="shared" si="125"/>
        <v>13.673599587657044</v>
      </c>
      <c r="L128" t="str">
        <f t="shared" si="126"/>
        <v>34 Culture, media and sports occupations</v>
      </c>
      <c r="M128" s="26">
        <f t="shared" si="127"/>
        <v>0.65850320456032208</v>
      </c>
      <c r="N128" s="26">
        <f t="shared" si="127"/>
        <v>-2.5906921200169535</v>
      </c>
      <c r="O128" s="26">
        <f t="shared" si="127"/>
        <v>1.3447693182404166</v>
      </c>
      <c r="P128" s="26">
        <f t="shared" si="127"/>
        <v>4.4383276163362595</v>
      </c>
      <c r="Q128" s="26">
        <f t="shared" si="128"/>
        <v>5.7830969345766761</v>
      </c>
      <c r="W128" t="str">
        <f t="shared" si="129"/>
        <v>34 Culture, media and sports occupations</v>
      </c>
      <c r="X128" s="26">
        <f t="shared" si="130"/>
        <v>4.3503804511011239</v>
      </c>
      <c r="Y128" s="26">
        <f t="shared" si="130"/>
        <v>2.1357731397397544</v>
      </c>
      <c r="Z128" s="26">
        <f t="shared" si="130"/>
        <v>1.8638774192092953</v>
      </c>
      <c r="AA128" s="26">
        <f t="shared" si="130"/>
        <v>6.0266252338708455</v>
      </c>
      <c r="AB128" s="26">
        <f t="shared" si="131"/>
        <v>7.8905026530801408</v>
      </c>
    </row>
    <row r="129" spans="1:28" x14ac:dyDescent="0.2">
      <c r="A129" t="str">
        <f t="shared" si="123"/>
        <v>35 Business and public service associate professionals</v>
      </c>
      <c r="B129" s="26">
        <f t="shared" si="124"/>
        <v>11.730490709505261</v>
      </c>
      <c r="C129" s="26">
        <f t="shared" si="124"/>
        <v>7.5655171863576811</v>
      </c>
      <c r="D129" s="26">
        <f t="shared" si="124"/>
        <v>-4.1141491431490067</v>
      </c>
      <c r="E129" s="26">
        <f t="shared" si="124"/>
        <v>8.6016149447153509</v>
      </c>
      <c r="F129" s="26">
        <f t="shared" si="125"/>
        <v>4.4874658015663442</v>
      </c>
      <c r="L129" t="str">
        <f t="shared" si="126"/>
        <v>35 Business and public service associate professionals</v>
      </c>
      <c r="M129" s="26">
        <f t="shared" si="127"/>
        <v>3.2552648436380167</v>
      </c>
      <c r="N129" s="26">
        <f t="shared" si="127"/>
        <v>3.1751848443546749</v>
      </c>
      <c r="O129" s="26">
        <f t="shared" si="127"/>
        <v>-5.8273992240987127</v>
      </c>
      <c r="P129" s="26">
        <f t="shared" si="127"/>
        <v>0.15245135791101916</v>
      </c>
      <c r="Q129" s="26">
        <f t="shared" si="128"/>
        <v>-5.6749478661876935</v>
      </c>
      <c r="W129" t="str">
        <f t="shared" si="129"/>
        <v>35 Business and public service associate professionals</v>
      </c>
      <c r="X129" s="26">
        <f t="shared" si="130"/>
        <v>8.4752258658669746</v>
      </c>
      <c r="Y129" s="26">
        <f t="shared" si="130"/>
        <v>4.3903323420028499</v>
      </c>
      <c r="Z129" s="26">
        <f t="shared" si="130"/>
        <v>1.7132500809501607</v>
      </c>
      <c r="AA129" s="26">
        <f t="shared" si="130"/>
        <v>8.4491635868039907</v>
      </c>
      <c r="AB129" s="26">
        <f t="shared" si="131"/>
        <v>10.162413667754151</v>
      </c>
    </row>
    <row r="130" spans="1:28" x14ac:dyDescent="0.2">
      <c r="A130" t="str">
        <f t="shared" si="123"/>
        <v>41 Administrative occupations</v>
      </c>
      <c r="B130" s="26">
        <f t="shared" si="124"/>
        <v>-2.665605139164569</v>
      </c>
      <c r="C130" s="26">
        <f t="shared" si="124"/>
        <v>12.310857363574172</v>
      </c>
      <c r="D130" s="26">
        <f t="shared" si="124"/>
        <v>-18.084005149269188</v>
      </c>
      <c r="E130" s="26">
        <f t="shared" si="124"/>
        <v>-12.125406514626462</v>
      </c>
      <c r="F130" s="26">
        <f t="shared" si="125"/>
        <v>-30.209411663895651</v>
      </c>
      <c r="L130" t="str">
        <f t="shared" si="126"/>
        <v>41 Administrative occupations</v>
      </c>
      <c r="M130" s="26">
        <f t="shared" si="127"/>
        <v>-5.2842321880839336</v>
      </c>
      <c r="N130" s="26">
        <f t="shared" si="127"/>
        <v>11.04367120965567</v>
      </c>
      <c r="O130" s="26">
        <f t="shared" si="127"/>
        <v>-3.8198293522400917</v>
      </c>
      <c r="P130" s="26">
        <f t="shared" si="127"/>
        <v>3.3624633465640699</v>
      </c>
      <c r="Q130" s="26">
        <f t="shared" si="128"/>
        <v>-0.45736600567602181</v>
      </c>
      <c r="W130" t="str">
        <f t="shared" si="129"/>
        <v>41 Administrative occupations</v>
      </c>
      <c r="X130" s="26">
        <f t="shared" si="130"/>
        <v>2.6186270489190235</v>
      </c>
      <c r="Y130" s="26">
        <f t="shared" si="130"/>
        <v>1.2671861539182601</v>
      </c>
      <c r="Z130" s="26">
        <f t="shared" si="130"/>
        <v>-14.264175797028741</v>
      </c>
      <c r="AA130" s="26">
        <f t="shared" si="130"/>
        <v>-15.487869861190461</v>
      </c>
      <c r="AB130" s="26">
        <f t="shared" si="131"/>
        <v>-29.752045658219203</v>
      </c>
    </row>
    <row r="131" spans="1:28" x14ac:dyDescent="0.2">
      <c r="A131" t="str">
        <f t="shared" si="123"/>
        <v>42 Secretarial and related occupations</v>
      </c>
      <c r="B131" s="26">
        <f t="shared" si="124"/>
        <v>-4.2853806242627286</v>
      </c>
      <c r="C131" s="26">
        <f t="shared" si="124"/>
        <v>-1.24712578254357</v>
      </c>
      <c r="D131" s="26">
        <f t="shared" si="124"/>
        <v>3.2830779486898152</v>
      </c>
      <c r="E131" s="26">
        <f t="shared" si="124"/>
        <v>-5.7847336745113722</v>
      </c>
      <c r="F131" s="26">
        <f t="shared" si="125"/>
        <v>-2.501655725821557</v>
      </c>
      <c r="L131" t="str">
        <f t="shared" si="126"/>
        <v>42 Secretarial and related occupations</v>
      </c>
      <c r="M131" s="26">
        <f t="shared" si="127"/>
        <v>-1.5335780785672659</v>
      </c>
      <c r="N131" s="26">
        <f t="shared" si="127"/>
        <v>-0.33270584876451537</v>
      </c>
      <c r="O131" s="26">
        <f t="shared" si="127"/>
        <v>1.8746806094749484</v>
      </c>
      <c r="P131" s="26">
        <f t="shared" si="127"/>
        <v>1.5604615224313232</v>
      </c>
      <c r="Q131" s="26">
        <f t="shared" si="128"/>
        <v>3.4351421319062716</v>
      </c>
      <c r="W131" t="str">
        <f t="shared" si="129"/>
        <v>42 Secretarial and related occupations</v>
      </c>
      <c r="X131" s="26">
        <f t="shared" si="130"/>
        <v>-2.7518025456954547</v>
      </c>
      <c r="Y131" s="26">
        <f t="shared" si="130"/>
        <v>-0.91441993377905106</v>
      </c>
      <c r="Z131" s="26">
        <f t="shared" si="130"/>
        <v>1.408397339214865</v>
      </c>
      <c r="AA131" s="26">
        <f t="shared" si="130"/>
        <v>-7.3451951969427256</v>
      </c>
      <c r="AB131" s="26">
        <f t="shared" si="131"/>
        <v>-5.9367978577278606</v>
      </c>
    </row>
    <row r="132" spans="1:28" x14ac:dyDescent="0.2">
      <c r="A132" t="str">
        <f t="shared" si="123"/>
        <v>51 Skilled agricultural and related trades</v>
      </c>
      <c r="B132" s="26">
        <f t="shared" si="124"/>
        <v>-1.1380694451801858</v>
      </c>
      <c r="C132" s="26">
        <f t="shared" si="124"/>
        <v>3.4532187578772593</v>
      </c>
      <c r="D132" s="26">
        <f t="shared" si="124"/>
        <v>0.24737803827171234</v>
      </c>
      <c r="E132" s="26">
        <f t="shared" si="124"/>
        <v>3.8815875568832467</v>
      </c>
      <c r="F132" s="26">
        <f t="shared" si="125"/>
        <v>4.1289655951549591</v>
      </c>
      <c r="L132" t="str">
        <f t="shared" si="126"/>
        <v>51 Skilled agricultural and related trades</v>
      </c>
      <c r="M132" s="26">
        <f t="shared" si="127"/>
        <v>-1.9201906776640669</v>
      </c>
      <c r="N132" s="26">
        <f t="shared" si="127"/>
        <v>2.8074826999815414</v>
      </c>
      <c r="O132" s="26">
        <f t="shared" si="127"/>
        <v>-6.2092314129856163E-2</v>
      </c>
      <c r="P132" s="26">
        <f t="shared" si="127"/>
        <v>2.2383530021431994</v>
      </c>
      <c r="Q132" s="26">
        <f t="shared" si="128"/>
        <v>2.1762606880133433</v>
      </c>
      <c r="W132" t="str">
        <f t="shared" si="129"/>
        <v>51 Skilled agricultural and related trades</v>
      </c>
      <c r="X132" s="26">
        <f t="shared" si="130"/>
        <v>0.78212123248399035</v>
      </c>
      <c r="Y132" s="26">
        <f t="shared" si="130"/>
        <v>0.64573605789570721</v>
      </c>
      <c r="Z132" s="26">
        <f t="shared" si="130"/>
        <v>0.30947035240153831</v>
      </c>
      <c r="AA132" s="26">
        <f t="shared" si="130"/>
        <v>1.64323455473997</v>
      </c>
      <c r="AB132" s="26">
        <f t="shared" si="131"/>
        <v>1.9527049071415084</v>
      </c>
    </row>
    <row r="133" spans="1:28" x14ac:dyDescent="0.2">
      <c r="A133" t="str">
        <f t="shared" si="123"/>
        <v>52 Skilled metal, electrical and electronic trades</v>
      </c>
      <c r="B133" s="26">
        <f t="shared" si="124"/>
        <v>-2.2657332678273718</v>
      </c>
      <c r="C133" s="26">
        <f t="shared" si="124"/>
        <v>-12.132914112074374</v>
      </c>
      <c r="D133" s="26">
        <f t="shared" si="124"/>
        <v>-0.7951453991221058</v>
      </c>
      <c r="E133" s="26">
        <f t="shared" si="124"/>
        <v>-3.2532489014900676</v>
      </c>
      <c r="F133" s="26">
        <f t="shared" si="125"/>
        <v>-4.0483943006121734</v>
      </c>
      <c r="L133" t="str">
        <f t="shared" si="126"/>
        <v>52 Skilled metal, electrical and electronic trades</v>
      </c>
      <c r="M133" s="26">
        <f t="shared" si="127"/>
        <v>-3.796542063218709</v>
      </c>
      <c r="N133" s="26">
        <f t="shared" si="127"/>
        <v>-11.366452000241267</v>
      </c>
      <c r="O133" s="26">
        <f t="shared" si="127"/>
        <v>-4.3681621663883732</v>
      </c>
      <c r="P133" s="26">
        <f t="shared" si="127"/>
        <v>-5.9198735212798965</v>
      </c>
      <c r="Q133" s="26">
        <f t="shared" si="128"/>
        <v>-10.28803568766827</v>
      </c>
      <c r="W133" t="str">
        <f t="shared" si="129"/>
        <v>52 Skilled metal, electrical and electronic trades</v>
      </c>
      <c r="X133" s="26">
        <f t="shared" si="130"/>
        <v>1.5308087953913065</v>
      </c>
      <c r="Y133" s="26">
        <f t="shared" si="130"/>
        <v>-0.76646211183323754</v>
      </c>
      <c r="Z133" s="26">
        <f t="shared" si="130"/>
        <v>3.5730167672664948</v>
      </c>
      <c r="AA133" s="26">
        <f t="shared" si="130"/>
        <v>2.6666246197895864</v>
      </c>
      <c r="AB133" s="26">
        <f t="shared" si="131"/>
        <v>6.2396413870560812</v>
      </c>
    </row>
    <row r="134" spans="1:28" x14ac:dyDescent="0.2">
      <c r="A134" t="str">
        <f t="shared" si="123"/>
        <v>53 Skilled construction and building trades</v>
      </c>
      <c r="B134" s="26">
        <f t="shared" si="124"/>
        <v>4.2297548120712634</v>
      </c>
      <c r="C134" s="26">
        <f t="shared" si="124"/>
        <v>-22.142178976373032</v>
      </c>
      <c r="D134" s="26">
        <f t="shared" si="124"/>
        <v>8.9002157959892969</v>
      </c>
      <c r="E134" s="26">
        <f t="shared" si="124"/>
        <v>0.67386590098873</v>
      </c>
      <c r="F134" s="26">
        <f t="shared" si="125"/>
        <v>9.5740816969780269</v>
      </c>
      <c r="L134" t="str">
        <f t="shared" si="126"/>
        <v>53 Skilled construction and building trades</v>
      </c>
      <c r="M134" s="26">
        <f t="shared" si="127"/>
        <v>3.8336788874731269</v>
      </c>
      <c r="N134" s="26">
        <f t="shared" si="127"/>
        <v>-22.510761121680773</v>
      </c>
      <c r="O134" s="26">
        <f t="shared" si="127"/>
        <v>8.59774533248833</v>
      </c>
      <c r="P134" s="26">
        <f t="shared" si="127"/>
        <v>0.133941189960467</v>
      </c>
      <c r="Q134" s="26">
        <f t="shared" si="128"/>
        <v>8.7316865224487969</v>
      </c>
      <c r="W134" t="str">
        <f t="shared" si="129"/>
        <v>53 Skilled construction and building trades</v>
      </c>
      <c r="X134" s="26">
        <f t="shared" si="130"/>
        <v>0.39607592459815666</v>
      </c>
      <c r="Y134" s="26">
        <f t="shared" si="130"/>
        <v>0.36858214530761235</v>
      </c>
      <c r="Z134" s="26">
        <f t="shared" si="130"/>
        <v>0.30247046350116413</v>
      </c>
      <c r="AA134" s="26">
        <f t="shared" si="130"/>
        <v>0.53992471102808581</v>
      </c>
      <c r="AB134" s="26">
        <f t="shared" si="131"/>
        <v>0.84239517452924995</v>
      </c>
    </row>
    <row r="135" spans="1:28" x14ac:dyDescent="0.2">
      <c r="A135" t="str">
        <f t="shared" si="123"/>
        <v>54 Textiles, printing and other skilled trades</v>
      </c>
      <c r="B135" s="26">
        <f t="shared" si="124"/>
        <v>-2.3854590783107668</v>
      </c>
      <c r="C135" s="26">
        <f t="shared" si="124"/>
        <v>-1.5490632888310785</v>
      </c>
      <c r="D135" s="26">
        <f t="shared" si="124"/>
        <v>0.81510265737332332</v>
      </c>
      <c r="E135" s="26">
        <f t="shared" si="124"/>
        <v>-1.9920954648619045</v>
      </c>
      <c r="F135" s="26">
        <f t="shared" si="125"/>
        <v>-1.1769928074885811</v>
      </c>
      <c r="L135" t="str">
        <f t="shared" si="126"/>
        <v>54 Textiles, printing and other skilled trades</v>
      </c>
      <c r="M135" s="26">
        <f t="shared" si="127"/>
        <v>-2.0806366141787436</v>
      </c>
      <c r="N135" s="26">
        <f t="shared" si="127"/>
        <v>-3.4328118490121042</v>
      </c>
      <c r="O135" s="26">
        <f t="shared" si="127"/>
        <v>-0.24433178910575037</v>
      </c>
      <c r="P135" s="26">
        <f t="shared" si="127"/>
        <v>-1.6178685034974869</v>
      </c>
      <c r="Q135" s="26">
        <f t="shared" si="128"/>
        <v>-1.8622002926032373</v>
      </c>
      <c r="W135" t="str">
        <f t="shared" si="129"/>
        <v>54 Textiles, printing and other skilled trades</v>
      </c>
      <c r="X135" s="26">
        <f t="shared" si="130"/>
        <v>-0.3048224641321795</v>
      </c>
      <c r="Y135" s="26">
        <f t="shared" si="130"/>
        <v>1.8837485601812851</v>
      </c>
      <c r="Z135" s="26">
        <f t="shared" si="130"/>
        <v>1.059434446478928</v>
      </c>
      <c r="AA135" s="26">
        <f t="shared" si="130"/>
        <v>-0.37422696136435007</v>
      </c>
      <c r="AB135" s="26">
        <f t="shared" si="131"/>
        <v>0.68520748511457796</v>
      </c>
    </row>
    <row r="136" spans="1:28" x14ac:dyDescent="0.2">
      <c r="A136" t="str">
        <f t="shared" si="123"/>
        <v>61 Caring personal service occupations</v>
      </c>
      <c r="B136" s="26">
        <f t="shared" si="124"/>
        <v>-2.5260954107085922</v>
      </c>
      <c r="C136" s="26">
        <f t="shared" si="124"/>
        <v>-10.073768600193006</v>
      </c>
      <c r="D136" s="26">
        <f t="shared" si="124"/>
        <v>21.606928735081084</v>
      </c>
      <c r="E136" s="26">
        <f t="shared" si="124"/>
        <v>26.013675741892371</v>
      </c>
      <c r="F136" s="26">
        <f t="shared" si="125"/>
        <v>47.620604476973455</v>
      </c>
      <c r="L136" t="str">
        <f t="shared" si="126"/>
        <v>61 Caring personal service occupations</v>
      </c>
      <c r="M136" s="26">
        <f t="shared" si="127"/>
        <v>-1.3349450259380831</v>
      </c>
      <c r="N136" s="26">
        <f t="shared" si="127"/>
        <v>-6.2736010955198651E-2</v>
      </c>
      <c r="O136" s="26">
        <f t="shared" si="127"/>
        <v>5.5963001635949823</v>
      </c>
      <c r="P136" s="26">
        <f t="shared" si="127"/>
        <v>5.7393232333981139</v>
      </c>
      <c r="Q136" s="26">
        <f t="shared" si="128"/>
        <v>11.335623396993096</v>
      </c>
      <c r="W136" t="str">
        <f t="shared" si="129"/>
        <v>61 Caring personal service occupations</v>
      </c>
      <c r="X136" s="26">
        <f t="shared" si="130"/>
        <v>-1.1911503847705092</v>
      </c>
      <c r="Y136" s="26">
        <f t="shared" si="130"/>
        <v>-10.0110325892378</v>
      </c>
      <c r="Z136" s="26">
        <f t="shared" si="130"/>
        <v>16.01062857148608</v>
      </c>
      <c r="AA136" s="26">
        <f t="shared" si="130"/>
        <v>20.274352508494218</v>
      </c>
      <c r="AB136" s="26">
        <f t="shared" si="131"/>
        <v>36.284981079980298</v>
      </c>
    </row>
    <row r="137" spans="1:28" x14ac:dyDescent="0.2">
      <c r="A137" t="str">
        <f t="shared" si="123"/>
        <v>62 Leisure, travel and related personal service occupations</v>
      </c>
      <c r="B137" s="26">
        <f t="shared" si="124"/>
        <v>7.2994218191186278</v>
      </c>
      <c r="C137" s="26">
        <f t="shared" si="124"/>
        <v>-7.9692680679272314</v>
      </c>
      <c r="D137" s="26">
        <f t="shared" si="124"/>
        <v>5.405190409098978</v>
      </c>
      <c r="E137" s="26">
        <f t="shared" si="124"/>
        <v>6.4522197647492163</v>
      </c>
      <c r="F137" s="26">
        <f t="shared" si="125"/>
        <v>11.857410173848194</v>
      </c>
      <c r="L137" t="str">
        <f t="shared" si="126"/>
        <v>62 Leisure, travel and related personal service occupations</v>
      </c>
      <c r="M137" s="26">
        <f t="shared" si="127"/>
        <v>2.7803619531992858</v>
      </c>
      <c r="N137" s="26">
        <f t="shared" si="127"/>
        <v>-0.28153810936496626</v>
      </c>
      <c r="O137" s="26">
        <f t="shared" si="127"/>
        <v>1.4959570385555168</v>
      </c>
      <c r="P137" s="26">
        <f t="shared" si="127"/>
        <v>2.8013065222767111</v>
      </c>
      <c r="Q137" s="26">
        <f t="shared" si="128"/>
        <v>4.2972635608322278</v>
      </c>
      <c r="W137" t="str">
        <f t="shared" si="129"/>
        <v>62 Leisure, travel and related personal service occupations</v>
      </c>
      <c r="X137" s="26">
        <f t="shared" si="130"/>
        <v>4.5190598659194308</v>
      </c>
      <c r="Y137" s="26">
        <f t="shared" si="130"/>
        <v>-7.6877299585623859</v>
      </c>
      <c r="Z137" s="26">
        <f t="shared" si="130"/>
        <v>3.909233370543447</v>
      </c>
      <c r="AA137" s="26">
        <f t="shared" si="130"/>
        <v>3.6509132424725408</v>
      </c>
      <c r="AB137" s="26">
        <f t="shared" si="131"/>
        <v>7.5601466130159878</v>
      </c>
    </row>
    <row r="138" spans="1:28" x14ac:dyDescent="0.2">
      <c r="A138" t="str">
        <f t="shared" si="123"/>
        <v>63 Community and civil enforcement occupations</v>
      </c>
      <c r="B138" s="26">
        <f t="shared" si="124"/>
        <v>-0.40526716523134687</v>
      </c>
      <c r="C138" s="26">
        <f t="shared" si="124"/>
        <v>0.68960191901003909</v>
      </c>
      <c r="D138" s="26">
        <f t="shared" si="124"/>
        <v>-0.60348555804788528</v>
      </c>
      <c r="E138" s="26">
        <f t="shared" si="124"/>
        <v>0.10779336045340715</v>
      </c>
      <c r="F138" s="26">
        <f t="shared" si="125"/>
        <v>-0.49569219759447813</v>
      </c>
      <c r="L138" t="str">
        <f t="shared" si="126"/>
        <v>63 Community and civil enforcement occupations</v>
      </c>
      <c r="M138" s="26">
        <f t="shared" si="127"/>
        <v>-0.52980044480541033</v>
      </c>
      <c r="N138" s="26">
        <f t="shared" si="127"/>
        <v>0.75557209561763727</v>
      </c>
      <c r="O138" s="26">
        <f t="shared" si="127"/>
        <v>-0.76035237042642323</v>
      </c>
      <c r="P138" s="26">
        <f t="shared" si="127"/>
        <v>0.13681103611363921</v>
      </c>
      <c r="Q138" s="26">
        <f t="shared" si="128"/>
        <v>-0.62354133431278402</v>
      </c>
      <c r="W138" t="str">
        <f t="shared" si="129"/>
        <v>63 Community and civil enforcement occupations</v>
      </c>
      <c r="X138" s="26">
        <f t="shared" si="130"/>
        <v>0.12453327957406263</v>
      </c>
      <c r="Y138" s="26">
        <f t="shared" si="130"/>
        <v>-6.5970176607599629E-2</v>
      </c>
      <c r="Z138" s="26">
        <f t="shared" si="130"/>
        <v>0.15686681237853839</v>
      </c>
      <c r="AA138" s="26">
        <f t="shared" si="130"/>
        <v>-2.9017675660228059E-2</v>
      </c>
      <c r="AB138" s="26">
        <f t="shared" si="131"/>
        <v>0.12784913671831033</v>
      </c>
    </row>
    <row r="139" spans="1:28" x14ac:dyDescent="0.2">
      <c r="A139" t="str">
        <f t="shared" si="123"/>
        <v>71 Sales occupations</v>
      </c>
      <c r="B139" s="26">
        <f t="shared" si="124"/>
        <v>-9.6638225445891521</v>
      </c>
      <c r="C139" s="26">
        <f t="shared" si="124"/>
        <v>4.0853743357104122E-2</v>
      </c>
      <c r="D139" s="26">
        <f t="shared" si="124"/>
        <v>-12.174001033130821</v>
      </c>
      <c r="E139" s="26">
        <f t="shared" si="124"/>
        <v>-10.041346686054283</v>
      </c>
      <c r="F139" s="26">
        <f t="shared" si="125"/>
        <v>-22.215347719185104</v>
      </c>
      <c r="L139" t="str">
        <f t="shared" si="126"/>
        <v>71 Sales occupations</v>
      </c>
      <c r="M139" s="26">
        <f t="shared" si="127"/>
        <v>-1.2840389983628313</v>
      </c>
      <c r="N139" s="26">
        <f t="shared" si="127"/>
        <v>0.35350477703138949</v>
      </c>
      <c r="O139" s="26">
        <f t="shared" si="127"/>
        <v>-3.8910181692110513</v>
      </c>
      <c r="P139" s="26">
        <f t="shared" si="127"/>
        <v>-1.0003556594409133</v>
      </c>
      <c r="Q139" s="26">
        <f t="shared" si="128"/>
        <v>-4.8913738286519646</v>
      </c>
      <c r="W139" t="str">
        <f t="shared" si="129"/>
        <v>71 Sales occupations</v>
      </c>
      <c r="X139" s="26">
        <f t="shared" si="130"/>
        <v>-8.3797835462258803</v>
      </c>
      <c r="Y139" s="26">
        <f t="shared" si="130"/>
        <v>-0.31265103367516645</v>
      </c>
      <c r="Z139" s="26">
        <f t="shared" si="130"/>
        <v>-8.28298286391977</v>
      </c>
      <c r="AA139" s="26">
        <f t="shared" si="130"/>
        <v>-9.0409910266130709</v>
      </c>
      <c r="AB139" s="26">
        <f t="shared" si="131"/>
        <v>-17.323973890532841</v>
      </c>
    </row>
    <row r="140" spans="1:28" x14ac:dyDescent="0.2">
      <c r="A140" t="str">
        <f t="shared" si="123"/>
        <v>72 Customer service occupations</v>
      </c>
      <c r="B140" s="26">
        <f t="shared" si="124"/>
        <v>4.12942598891199</v>
      </c>
      <c r="C140" s="26">
        <f t="shared" si="124"/>
        <v>2.08277849973895</v>
      </c>
      <c r="D140" s="26">
        <f t="shared" si="124"/>
        <v>14.084979369153046</v>
      </c>
      <c r="E140" s="26">
        <f t="shared" si="124"/>
        <v>9.148364208548287</v>
      </c>
      <c r="F140" s="26">
        <f t="shared" si="125"/>
        <v>23.233343577701334</v>
      </c>
      <c r="L140" t="str">
        <f t="shared" si="126"/>
        <v>72 Customer service occupations</v>
      </c>
      <c r="M140" s="26">
        <f t="shared" si="127"/>
        <v>-1.3492060697586616</v>
      </c>
      <c r="N140" s="26">
        <f t="shared" si="127"/>
        <v>2.7634602477486183</v>
      </c>
      <c r="O140" s="26">
        <f t="shared" si="127"/>
        <v>6.7197503797847631</v>
      </c>
      <c r="P140" s="26">
        <f t="shared" si="127"/>
        <v>4.6838665903098047</v>
      </c>
      <c r="Q140" s="26">
        <f t="shared" si="128"/>
        <v>11.403616970094568</v>
      </c>
      <c r="W140" t="str">
        <f t="shared" si="129"/>
        <v>72 Customer service occupations</v>
      </c>
      <c r="X140" s="26">
        <f t="shared" si="130"/>
        <v>5.4786320586705735</v>
      </c>
      <c r="Y140" s="26">
        <f t="shared" si="130"/>
        <v>-0.68068174800952974</v>
      </c>
      <c r="Z140" s="26">
        <f t="shared" si="130"/>
        <v>7.365228989368191</v>
      </c>
      <c r="AA140" s="26">
        <f t="shared" si="130"/>
        <v>4.4644976182384752</v>
      </c>
      <c r="AB140" s="26">
        <f t="shared" si="131"/>
        <v>11.829726607606666</v>
      </c>
    </row>
    <row r="141" spans="1:28" x14ac:dyDescent="0.2">
      <c r="A141" t="str">
        <f t="shared" si="123"/>
        <v>81 Process, plant and machine operatives</v>
      </c>
      <c r="B141" s="26">
        <f t="shared" si="124"/>
        <v>-2.8597675681858448</v>
      </c>
      <c r="C141" s="26">
        <f t="shared" si="124"/>
        <v>-8.4382722614441192</v>
      </c>
      <c r="D141" s="26">
        <f t="shared" si="124"/>
        <v>13.200918929708756</v>
      </c>
      <c r="E141" s="26">
        <f t="shared" si="124"/>
        <v>-0.41763261243333716</v>
      </c>
      <c r="F141" s="26">
        <f t="shared" si="125"/>
        <v>12.783286317275419</v>
      </c>
      <c r="L141" t="str">
        <f t="shared" si="126"/>
        <v>81 Process, plant and machine operatives</v>
      </c>
      <c r="M141" s="26">
        <f t="shared" si="127"/>
        <v>-3.7525148602620462</v>
      </c>
      <c r="N141" s="26">
        <f t="shared" si="127"/>
        <v>-6.4556331488040399</v>
      </c>
      <c r="O141" s="26">
        <f t="shared" si="127"/>
        <v>8.9501898898341778</v>
      </c>
      <c r="P141" s="26">
        <f t="shared" si="127"/>
        <v>-2.378570739624962</v>
      </c>
      <c r="Q141" s="26">
        <f t="shared" si="128"/>
        <v>6.5716191502092158</v>
      </c>
      <c r="W141" t="str">
        <f t="shared" si="129"/>
        <v>81 Process, plant and machine operatives</v>
      </c>
      <c r="X141" s="26">
        <f t="shared" si="130"/>
        <v>0.89274729207617831</v>
      </c>
      <c r="Y141" s="26">
        <f t="shared" si="130"/>
        <v>-1.9826391126399514</v>
      </c>
      <c r="Z141" s="26">
        <f t="shared" si="130"/>
        <v>4.2507290398745283</v>
      </c>
      <c r="AA141" s="26">
        <f t="shared" si="130"/>
        <v>1.9609381271916071</v>
      </c>
      <c r="AB141" s="26">
        <f t="shared" si="131"/>
        <v>6.2116671670661354</v>
      </c>
    </row>
    <row r="142" spans="1:28" x14ac:dyDescent="0.2">
      <c r="A142" t="str">
        <f t="shared" si="123"/>
        <v>82 Transport and mobile machine drivers and operatives</v>
      </c>
      <c r="B142" s="26">
        <f t="shared" si="124"/>
        <v>5.7116750562761496</v>
      </c>
      <c r="C142" s="26">
        <f t="shared" si="124"/>
        <v>-9.1773656525737692</v>
      </c>
      <c r="D142" s="26">
        <f t="shared" si="124"/>
        <v>5.7040464863701033</v>
      </c>
      <c r="E142" s="26">
        <f t="shared" si="124"/>
        <v>2.2826802494201957</v>
      </c>
      <c r="F142" s="26">
        <f t="shared" si="125"/>
        <v>7.9867267357902989</v>
      </c>
      <c r="L142" t="str">
        <f t="shared" si="126"/>
        <v>82 Transport and mobile machine drivers and operatives</v>
      </c>
      <c r="M142" s="26">
        <f t="shared" si="127"/>
        <v>4.6463219499656958</v>
      </c>
      <c r="N142" s="26">
        <f t="shared" si="127"/>
        <v>-8.4534646896956644</v>
      </c>
      <c r="O142" s="26">
        <f t="shared" si="127"/>
        <v>3.019059748552877</v>
      </c>
      <c r="P142" s="26">
        <f t="shared" si="127"/>
        <v>0.80224200309427829</v>
      </c>
      <c r="Q142" s="26">
        <f t="shared" si="128"/>
        <v>3.8213017516471552</v>
      </c>
      <c r="W142" t="str">
        <f t="shared" si="129"/>
        <v>82 Transport and mobile machine drivers and operatives</v>
      </c>
      <c r="X142" s="26">
        <f t="shared" si="130"/>
        <v>1.0653531063104564</v>
      </c>
      <c r="Y142" s="26">
        <f t="shared" si="130"/>
        <v>-0.72390096287814565</v>
      </c>
      <c r="Z142" s="26">
        <f t="shared" si="130"/>
        <v>2.6849867378167858</v>
      </c>
      <c r="AA142" s="26">
        <f t="shared" si="130"/>
        <v>1.4804382463261856</v>
      </c>
      <c r="AB142" s="26">
        <f t="shared" si="131"/>
        <v>4.1654249841429714</v>
      </c>
    </row>
    <row r="143" spans="1:28" x14ac:dyDescent="0.2">
      <c r="A143" t="str">
        <f t="shared" si="123"/>
        <v>91 Elementary trades and related occupations</v>
      </c>
      <c r="B143" s="26">
        <f t="shared" si="124"/>
        <v>-5.8318423407944806</v>
      </c>
      <c r="C143" s="26">
        <f t="shared" si="124"/>
        <v>-4.6178614486567895</v>
      </c>
      <c r="D143" s="26">
        <f t="shared" si="124"/>
        <v>-4.6847530623284186</v>
      </c>
      <c r="E143" s="26">
        <f t="shared" si="124"/>
        <v>-0.2228022040621056</v>
      </c>
      <c r="F143" s="26">
        <f t="shared" si="125"/>
        <v>-4.9075552663905242</v>
      </c>
      <c r="L143" t="str">
        <f t="shared" si="126"/>
        <v>91 Elementary trades and related occupations</v>
      </c>
      <c r="M143" s="26">
        <f t="shared" si="127"/>
        <v>-4.3437937473612038</v>
      </c>
      <c r="N143" s="26">
        <f t="shared" si="127"/>
        <v>-2.9987327782531601</v>
      </c>
      <c r="O143" s="26">
        <f t="shared" si="127"/>
        <v>-3.9736697099772869</v>
      </c>
      <c r="P143" s="26">
        <f t="shared" si="127"/>
        <v>-0.19610332375851414</v>
      </c>
      <c r="Q143" s="26">
        <f t="shared" si="128"/>
        <v>-4.169773033735801</v>
      </c>
      <c r="W143" t="str">
        <f t="shared" si="129"/>
        <v>91 Elementary trades and related occupations</v>
      </c>
      <c r="X143" s="26">
        <f t="shared" si="130"/>
        <v>-1.4880485934330618</v>
      </c>
      <c r="Y143" s="26">
        <f t="shared" si="130"/>
        <v>-1.6191286704037005</v>
      </c>
      <c r="Z143" s="26">
        <f t="shared" si="130"/>
        <v>-0.71108335235110509</v>
      </c>
      <c r="AA143" s="26">
        <f t="shared" si="130"/>
        <v>-2.6698880303559491E-2</v>
      </c>
      <c r="AB143" s="26">
        <f t="shared" si="131"/>
        <v>-0.73778223265466458</v>
      </c>
    </row>
    <row r="144" spans="1:28" x14ac:dyDescent="0.2">
      <c r="A144" t="str">
        <f t="shared" si="123"/>
        <v>92 Elementary administration and service occupations</v>
      </c>
      <c r="B144" s="26">
        <f t="shared" si="124"/>
        <v>4.126703246485647</v>
      </c>
      <c r="C144" s="26">
        <f t="shared" si="124"/>
        <v>-16.907569997388663</v>
      </c>
      <c r="D144" s="26">
        <f t="shared" si="124"/>
        <v>15.279952311409858</v>
      </c>
      <c r="E144" s="26">
        <f t="shared" si="124"/>
        <v>-6.8118773990475461</v>
      </c>
      <c r="F144" s="26">
        <f t="shared" si="125"/>
        <v>8.4680749123623116</v>
      </c>
      <c r="L144" t="str">
        <f t="shared" si="126"/>
        <v>92 Elementary administration and service occupations</v>
      </c>
      <c r="M144" s="26">
        <f t="shared" si="127"/>
        <v>-11.034877263659084</v>
      </c>
      <c r="N144" s="26">
        <f t="shared" si="127"/>
        <v>0.75227175047275807</v>
      </c>
      <c r="O144" s="26">
        <f t="shared" si="127"/>
        <v>11.500270088768872</v>
      </c>
      <c r="P144" s="26">
        <f t="shared" si="127"/>
        <v>-6.4943735810232397</v>
      </c>
      <c r="Q144" s="26">
        <f t="shared" si="128"/>
        <v>5.0058965077456321</v>
      </c>
      <c r="W144" t="str">
        <f t="shared" si="129"/>
        <v>92 Elementary administration and service occupations</v>
      </c>
      <c r="X144" s="26">
        <f t="shared" si="130"/>
        <v>15.161580510144034</v>
      </c>
      <c r="Y144" s="26">
        <f t="shared" si="130"/>
        <v>-17.65984174786044</v>
      </c>
      <c r="Z144" s="26">
        <f t="shared" si="130"/>
        <v>3.7796822226413838</v>
      </c>
      <c r="AA144" s="26">
        <f t="shared" si="130"/>
        <v>-0.31750381802433481</v>
      </c>
      <c r="AB144" s="26">
        <f t="shared" si="131"/>
        <v>3.462178404617049</v>
      </c>
    </row>
    <row r="145" spans="1:31" x14ac:dyDescent="0.2">
      <c r="C145" s="26"/>
      <c r="F145" s="26"/>
      <c r="N145" s="26"/>
      <c r="Q145" s="26"/>
      <c r="Y145" s="26"/>
      <c r="AB145" s="26"/>
    </row>
    <row r="146" spans="1:31" x14ac:dyDescent="0.2">
      <c r="A146" s="23" t="str">
        <f>A35</f>
        <v>All occupations</v>
      </c>
      <c r="B146" s="28">
        <f>C35-B35</f>
        <v>144.25500000253987</v>
      </c>
      <c r="C146" s="28">
        <f t="shared" ref="C146" si="132">D35-C35</f>
        <v>-32.520000003187761</v>
      </c>
      <c r="D146" s="28">
        <f>E35-D35</f>
        <v>129.06799999786745</v>
      </c>
      <c r="E146" s="28">
        <f>F35-E35</f>
        <v>181.43800000295869</v>
      </c>
      <c r="F146" s="28">
        <f t="shared" ref="F146" si="133">F35-D35</f>
        <v>310.50600000082613</v>
      </c>
      <c r="L146" s="23" t="str">
        <f>L35</f>
        <v>All occupations</v>
      </c>
      <c r="M146" s="28">
        <f>N35-M35</f>
        <v>40.331000002064911</v>
      </c>
      <c r="N146" s="28">
        <f t="shared" ref="N146" si="134">O35-N35</f>
        <v>-27.920000003020959</v>
      </c>
      <c r="O146" s="28">
        <f>P35-O35</f>
        <v>56.09299999753307</v>
      </c>
      <c r="P146" s="28">
        <f>Q35-P35</f>
        <v>76.366000000573422</v>
      </c>
      <c r="Q146" s="28">
        <f t="shared" ref="Q146" si="135">Q35-O35</f>
        <v>132.45899999810649</v>
      </c>
      <c r="W146" s="23" t="str">
        <f>W35</f>
        <v>All occupations</v>
      </c>
      <c r="X146" s="28">
        <f>Y35-X35</f>
        <v>103.92400000047473</v>
      </c>
      <c r="Y146" s="28">
        <f t="shared" ref="Y146" si="136">Z35-Y35</f>
        <v>-4.6000000001681656</v>
      </c>
      <c r="Z146" s="28">
        <f>AA35-Z35</f>
        <v>72.975000000337104</v>
      </c>
      <c r="AA146" s="28">
        <f>AB35-AA35</f>
        <v>105.07200000238549</v>
      </c>
      <c r="AB146" s="28">
        <f t="shared" ref="AB146" si="137">AB35-Z35</f>
        <v>178.0470000027226</v>
      </c>
    </row>
    <row r="150" spans="1:31" x14ac:dyDescent="0.2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2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2">
      <c r="A153" s="10" t="str">
        <f t="shared" ref="A153:B178" si="141">A8</f>
        <v>11 Corporate managers and directors</v>
      </c>
      <c r="B153" s="11">
        <f t="shared" si="141"/>
        <v>178.28774463132186</v>
      </c>
      <c r="C153" s="11">
        <f t="shared" ref="C153:F153" si="142">C8</f>
        <v>213.59764295854791</v>
      </c>
      <c r="D153" s="11">
        <f t="shared" si="142"/>
        <v>220.42416840586966</v>
      </c>
      <c r="E153" s="11">
        <f t="shared" si="142"/>
        <v>206.88200941059679</v>
      </c>
      <c r="F153" s="11">
        <f t="shared" si="142"/>
        <v>228.60191583847305</v>
      </c>
      <c r="H153" s="39">
        <f>IF(D$151-B$151 &lt;&gt; 0,(EXP(LN(D153/B153)/(D$151-B$151))-1)*100,0)</f>
        <v>4.3344050695211855</v>
      </c>
      <c r="I153" s="39">
        <f>IF(F$151-D$151 &lt;&gt; 0,(EXP(LN(F153/D153)/(F$151-D$151))-1)*100,0)</f>
        <v>0.24315115938382537</v>
      </c>
      <c r="L153" s="10" t="str">
        <f>L8</f>
        <v>11 Corporate managers and directors</v>
      </c>
      <c r="M153" s="11">
        <f>M8</f>
        <v>127.88621824715689</v>
      </c>
      <c r="N153" s="11">
        <f t="shared" ref="N153:Q153" si="143">N8</f>
        <v>145.46899598068458</v>
      </c>
      <c r="O153" s="11">
        <f t="shared" si="143"/>
        <v>147.27770381805956</v>
      </c>
      <c r="P153" s="11">
        <f t="shared" si="143"/>
        <v>134.61219668333305</v>
      </c>
      <c r="Q153" s="11">
        <f t="shared" si="143"/>
        <v>143.32246372020509</v>
      </c>
      <c r="S153" s="39">
        <f>IF(O$151-M$151 &lt;&gt; 0,(EXP(LN(O153/M153)/(O$151-M$151))-1)*100,0)</f>
        <v>2.8638208214827321</v>
      </c>
      <c r="T153" s="39">
        <f>IF(Q$151-O$151 &lt;&gt; 0,(EXP(LN(Q153/O153)/(Q$151-O$151))-1)*100,0)</f>
        <v>-0.18132117138545123</v>
      </c>
      <c r="W153" s="10" t="str">
        <f>W8</f>
        <v>11 Corporate managers and directors</v>
      </c>
      <c r="X153" s="11">
        <f>X8</f>
        <v>50.401526384164946</v>
      </c>
      <c r="Y153" s="11">
        <f t="shared" ref="Y153:AB153" si="144">Y8</f>
        <v>68.128646977864221</v>
      </c>
      <c r="Z153" s="11">
        <f t="shared" si="144"/>
        <v>73.146464587809945</v>
      </c>
      <c r="AA153" s="11">
        <f t="shared" si="144"/>
        <v>72.269812727264082</v>
      </c>
      <c r="AB153" s="11">
        <f t="shared" si="144"/>
        <v>85.279452118268068</v>
      </c>
      <c r="AD153" s="39">
        <f>IF(Z$151-X$151 &lt;&gt; 0,(EXP(LN(Z153/X153)/(Z$151-X$151))-1)*100,0)</f>
        <v>7.733291863159697</v>
      </c>
      <c r="AE153" s="39">
        <f>IF(AB$151-Z$151 &lt;&gt; 0,(EXP(LN(AB153/Z153)/(AB$151-Z$151))-1)*100,0)</f>
        <v>1.0283834912734102</v>
      </c>
    </row>
    <row r="154" spans="1:31" x14ac:dyDescent="0.2">
      <c r="A154" s="10" t="str">
        <f t="shared" si="141"/>
        <v>12 Other managers and proprietors</v>
      </c>
      <c r="B154" s="11">
        <f t="shared" si="141"/>
        <v>103.43021572953465</v>
      </c>
      <c r="C154" s="11">
        <f t="shared" ref="C154:F178" si="145">C9</f>
        <v>114.51338190941415</v>
      </c>
      <c r="D154" s="11">
        <f t="shared" si="145"/>
        <v>116.24748966700469</v>
      </c>
      <c r="E154" s="11">
        <f t="shared" si="145"/>
        <v>144.11936184623406</v>
      </c>
      <c r="F154" s="11">
        <f t="shared" si="145"/>
        <v>165.54721327345115</v>
      </c>
      <c r="H154" s="39">
        <f t="shared" ref="H154:H180" si="146">IF(D$151-B$151 &lt;&gt; 0,(EXP(LN(D154/B154)/(D$151-B$151))-1)*100,0)</f>
        <v>2.3639958503026692</v>
      </c>
      <c r="I154" s="39">
        <f t="shared" ref="I154:I180" si="147">IF(F$151-D$151 &lt;&gt; 0,(EXP(LN(F154/D154)/(F$151-D$151))-1)*100,0)</f>
        <v>2.3848942571800036</v>
      </c>
      <c r="L154" s="10" t="str">
        <f t="shared" ref="L154:Q154" si="148">L9</f>
        <v>12 Other managers and proprietors</v>
      </c>
      <c r="M154" s="11">
        <f t="shared" si="148"/>
        <v>63.589724667695613</v>
      </c>
      <c r="N154" s="11">
        <f t="shared" si="148"/>
        <v>70.102047022900109</v>
      </c>
      <c r="O154" s="11">
        <f t="shared" si="148"/>
        <v>67.897013109996891</v>
      </c>
      <c r="P154" s="11">
        <f t="shared" si="148"/>
        <v>86.936958773076029</v>
      </c>
      <c r="Q154" s="11">
        <f t="shared" si="148"/>
        <v>101.83460655235328</v>
      </c>
      <c r="S154" s="39">
        <f t="shared" ref="S154:S177" si="149">IF(O$151-M$151 &lt;&gt; 0,(EXP(LN(O154/M154)/(O$151-M$151))-1)*100,0)</f>
        <v>1.3194316543855944</v>
      </c>
      <c r="T154" s="39">
        <f t="shared" ref="T154:T177" si="150">IF(Q$151-O$151 &lt;&gt; 0,(EXP(LN(Q154/O154)/(Q$151-O$151))-1)*100,0)</f>
        <v>2.7392319392846254</v>
      </c>
      <c r="W154" s="10" t="str">
        <f t="shared" ref="W154:AB154" si="151">W9</f>
        <v>12 Other managers and proprietors</v>
      </c>
      <c r="X154" s="11">
        <f t="shared" si="151"/>
        <v>39.840491061839266</v>
      </c>
      <c r="Y154" s="11">
        <f t="shared" si="151"/>
        <v>44.411334886513934</v>
      </c>
      <c r="Z154" s="11">
        <f t="shared" si="151"/>
        <v>48.350476557007639</v>
      </c>
      <c r="AA154" s="11">
        <f t="shared" si="151"/>
        <v>57.182403073158426</v>
      </c>
      <c r="AB154" s="11">
        <f t="shared" si="151"/>
        <v>63.712606721098055</v>
      </c>
      <c r="AD154" s="39">
        <f t="shared" ref="AD154:AD177" si="152">IF(Z$151-X$151 &lt;&gt; 0,(EXP(LN(Z154/X154)/(Z$151-X$151))-1)*100,0)</f>
        <v>3.9477791981406218</v>
      </c>
      <c r="AE154" s="39">
        <f t="shared" ref="AE154:AE177" si="153">IF(AB$151-Z$151 &lt;&gt; 0,(EXP(LN(AB154/Z154)/(AB$151-Z$151))-1)*100,0)</f>
        <v>1.8563965314799313</v>
      </c>
    </row>
    <row r="155" spans="1:31" x14ac:dyDescent="0.2">
      <c r="A155" s="10" t="str">
        <f t="shared" si="141"/>
        <v>21 Science, research, engineering and technology professionals</v>
      </c>
      <c r="B155" s="11">
        <f t="shared" si="141"/>
        <v>147.35087953346306</v>
      </c>
      <c r="C155" s="11">
        <f t="shared" si="145"/>
        <v>169.34812313639929</v>
      </c>
      <c r="D155" s="11">
        <f t="shared" si="145"/>
        <v>174.78975240588667</v>
      </c>
      <c r="E155" s="11">
        <f t="shared" si="145"/>
        <v>186.54260993602119</v>
      </c>
      <c r="F155" s="11">
        <f t="shared" si="145"/>
        <v>209.54199786733972</v>
      </c>
      <c r="H155" s="39">
        <f t="shared" si="146"/>
        <v>3.4743357012070319</v>
      </c>
      <c r="I155" s="39">
        <f t="shared" si="147"/>
        <v>1.2162728285591395</v>
      </c>
      <c r="L155" s="10" t="str">
        <f t="shared" ref="L155:Q155" si="154">L10</f>
        <v>21 Science, research, engineering and technology professionals</v>
      </c>
      <c r="M155" s="11">
        <f t="shared" si="154"/>
        <v>120.72431159303343</v>
      </c>
      <c r="N155" s="11">
        <f t="shared" si="154"/>
        <v>138.73506601321373</v>
      </c>
      <c r="O155" s="11">
        <f t="shared" si="154"/>
        <v>137.60670702916633</v>
      </c>
      <c r="P155" s="11">
        <f t="shared" si="154"/>
        <v>141.71141076714989</v>
      </c>
      <c r="Q155" s="11">
        <f t="shared" si="154"/>
        <v>155.45643873539618</v>
      </c>
      <c r="S155" s="39">
        <f t="shared" si="149"/>
        <v>2.6523681710647562</v>
      </c>
      <c r="T155" s="39">
        <f t="shared" si="150"/>
        <v>0.81642060653195347</v>
      </c>
      <c r="W155" s="10" t="str">
        <f t="shared" ref="W155:AB155" si="155">W10</f>
        <v>21 Science, research, engineering and technology professionals</v>
      </c>
      <c r="X155" s="11">
        <f t="shared" si="155"/>
        <v>26.626567940430299</v>
      </c>
      <c r="Y155" s="11">
        <f t="shared" si="155"/>
        <v>30.613057123186071</v>
      </c>
      <c r="Z155" s="11">
        <f t="shared" si="155"/>
        <v>37.183045376720479</v>
      </c>
      <c r="AA155" s="11">
        <f t="shared" si="155"/>
        <v>44.831199168871457</v>
      </c>
      <c r="AB155" s="11">
        <f t="shared" si="155"/>
        <v>54.085559131943619</v>
      </c>
      <c r="AD155" s="39">
        <f t="shared" si="152"/>
        <v>6.9069533367285052</v>
      </c>
      <c r="AE155" s="39">
        <f t="shared" si="153"/>
        <v>2.5295594138221134</v>
      </c>
    </row>
    <row r="156" spans="1:31" x14ac:dyDescent="0.2">
      <c r="A156" s="10" t="str">
        <f t="shared" si="141"/>
        <v>22 Health professionals</v>
      </c>
      <c r="B156" s="11">
        <f t="shared" si="141"/>
        <v>123.14430616433667</v>
      </c>
      <c r="C156" s="11">
        <f t="shared" si="145"/>
        <v>137.3170036592112</v>
      </c>
      <c r="D156" s="11">
        <f t="shared" si="145"/>
        <v>136.06688372711437</v>
      </c>
      <c r="E156" s="11">
        <f t="shared" si="145"/>
        <v>152.01556031283346</v>
      </c>
      <c r="F156" s="11">
        <f t="shared" si="145"/>
        <v>175.96215290882705</v>
      </c>
      <c r="H156" s="39">
        <f t="shared" si="146"/>
        <v>2.0158424817891651</v>
      </c>
      <c r="I156" s="39">
        <f t="shared" si="147"/>
        <v>1.7289250071525819</v>
      </c>
      <c r="L156" s="10" t="str">
        <f t="shared" ref="L156:Q156" si="156">L11</f>
        <v>22 Health professionals</v>
      </c>
      <c r="M156" s="11">
        <f t="shared" si="156"/>
        <v>32.990931031728977</v>
      </c>
      <c r="N156" s="11">
        <f t="shared" si="156"/>
        <v>35.073654375146063</v>
      </c>
      <c r="O156" s="11">
        <f t="shared" si="156"/>
        <v>38.971934377204661</v>
      </c>
      <c r="P156" s="11">
        <f t="shared" si="156"/>
        <v>43.572142583285626</v>
      </c>
      <c r="Q156" s="11">
        <f t="shared" si="156"/>
        <v>50.923369963451925</v>
      </c>
      <c r="S156" s="39">
        <f t="shared" si="149"/>
        <v>3.3883199507045214</v>
      </c>
      <c r="T156" s="39">
        <f t="shared" si="150"/>
        <v>1.7991952768021013</v>
      </c>
      <c r="W156" s="10" t="str">
        <f t="shared" ref="W156:AB156" si="157">W11</f>
        <v>22 Health professionals</v>
      </c>
      <c r="X156" s="11">
        <f t="shared" si="157"/>
        <v>90.153375132607835</v>
      </c>
      <c r="Y156" s="11">
        <f t="shared" si="157"/>
        <v>102.24334928406539</v>
      </c>
      <c r="Z156" s="11">
        <f t="shared" si="157"/>
        <v>97.094949349909626</v>
      </c>
      <c r="AA156" s="11">
        <f t="shared" si="157"/>
        <v>108.4434177295478</v>
      </c>
      <c r="AB156" s="11">
        <f t="shared" si="157"/>
        <v>125.03878294537533</v>
      </c>
      <c r="AD156" s="39">
        <f t="shared" si="152"/>
        <v>1.4945984866514106</v>
      </c>
      <c r="AE156" s="39">
        <f t="shared" si="153"/>
        <v>1.700527741224156</v>
      </c>
    </row>
    <row r="157" spans="1:31" x14ac:dyDescent="0.2">
      <c r="A157" s="10" t="str">
        <f t="shared" si="141"/>
        <v>23 Teaching and other educational professionals</v>
      </c>
      <c r="B157" s="11">
        <f t="shared" si="141"/>
        <v>131.96078482642613</v>
      </c>
      <c r="C157" s="11">
        <f t="shared" si="145"/>
        <v>146.09030944326346</v>
      </c>
      <c r="D157" s="11">
        <f t="shared" si="145"/>
        <v>147.16638535201332</v>
      </c>
      <c r="E157" s="11">
        <f t="shared" si="145"/>
        <v>155.67652326982011</v>
      </c>
      <c r="F157" s="11">
        <f t="shared" si="145"/>
        <v>172.55168775110647</v>
      </c>
      <c r="H157" s="39">
        <f t="shared" si="146"/>
        <v>2.2051421614749156</v>
      </c>
      <c r="I157" s="39">
        <f t="shared" si="147"/>
        <v>1.0665340956459879</v>
      </c>
      <c r="L157" s="10" t="str">
        <f t="shared" ref="L157:Q157" si="158">L12</f>
        <v>23 Teaching and other educational professionals</v>
      </c>
      <c r="M157" s="11">
        <f t="shared" si="158"/>
        <v>47.162536561260787</v>
      </c>
      <c r="N157" s="11">
        <f t="shared" si="158"/>
        <v>49.703038977884255</v>
      </c>
      <c r="O157" s="11">
        <f t="shared" si="158"/>
        <v>46.645682691708984</v>
      </c>
      <c r="P157" s="11">
        <f t="shared" si="158"/>
        <v>51.086163348632482</v>
      </c>
      <c r="Q157" s="11">
        <f t="shared" si="158"/>
        <v>56.15203935793744</v>
      </c>
      <c r="S157" s="39">
        <f t="shared" si="149"/>
        <v>-0.22014700624274353</v>
      </c>
      <c r="T157" s="39">
        <f t="shared" si="150"/>
        <v>1.2442277276131897</v>
      </c>
      <c r="W157" s="10" t="str">
        <f t="shared" ref="W157:AB157" si="159">W12</f>
        <v>23 Teaching and other educational professionals</v>
      </c>
      <c r="X157" s="11">
        <f t="shared" si="159"/>
        <v>84.798248265165412</v>
      </c>
      <c r="Y157" s="11">
        <f t="shared" si="159"/>
        <v>96.387270465378847</v>
      </c>
      <c r="Z157" s="11">
        <f t="shared" si="159"/>
        <v>100.52070266030438</v>
      </c>
      <c r="AA157" s="11">
        <f t="shared" si="159"/>
        <v>104.59035992118744</v>
      </c>
      <c r="AB157" s="11">
        <f t="shared" si="159"/>
        <v>116.39964839316906</v>
      </c>
      <c r="AD157" s="39">
        <f t="shared" si="152"/>
        <v>3.4602984749616095</v>
      </c>
      <c r="AE157" s="39">
        <f t="shared" si="153"/>
        <v>0.98256788720547661</v>
      </c>
    </row>
    <row r="158" spans="1:31" x14ac:dyDescent="0.2">
      <c r="A158" s="10" t="str">
        <f t="shared" si="141"/>
        <v>24 Business, media and public service professionals</v>
      </c>
      <c r="B158" s="11">
        <f t="shared" si="141"/>
        <v>153.3672600969031</v>
      </c>
      <c r="C158" s="11">
        <f t="shared" si="145"/>
        <v>179.91378446675418</v>
      </c>
      <c r="D158" s="11">
        <f t="shared" si="145"/>
        <v>195.24119605405735</v>
      </c>
      <c r="E158" s="11">
        <f t="shared" si="145"/>
        <v>221.40110061568069</v>
      </c>
      <c r="F158" s="11">
        <f t="shared" si="145"/>
        <v>252.27951137953681</v>
      </c>
      <c r="H158" s="39">
        <f t="shared" si="146"/>
        <v>4.9464518649636302</v>
      </c>
      <c r="I158" s="39">
        <f t="shared" si="147"/>
        <v>1.7233610838155</v>
      </c>
      <c r="L158" s="10" t="str">
        <f t="shared" ref="L158:Q158" si="160">L13</f>
        <v>24 Business, media and public service professionals</v>
      </c>
      <c r="M158" s="11">
        <f t="shared" si="160"/>
        <v>94.300527268926288</v>
      </c>
      <c r="N158" s="11">
        <f t="shared" si="160"/>
        <v>104.65778883867104</v>
      </c>
      <c r="O158" s="11">
        <f t="shared" si="160"/>
        <v>110.15590879838491</v>
      </c>
      <c r="P158" s="11">
        <f t="shared" si="160"/>
        <v>125.35812386705021</v>
      </c>
      <c r="Q158" s="11">
        <f t="shared" si="160"/>
        <v>139.45093516071509</v>
      </c>
      <c r="S158" s="39">
        <f t="shared" si="149"/>
        <v>3.1570075546168308</v>
      </c>
      <c r="T158" s="39">
        <f t="shared" si="150"/>
        <v>1.5845299888600284</v>
      </c>
      <c r="W158" s="10" t="str">
        <f t="shared" ref="W158:AB158" si="161">W13</f>
        <v>24 Business, media and public service professionals</v>
      </c>
      <c r="X158" s="11">
        <f t="shared" si="161"/>
        <v>59.066732827976594</v>
      </c>
      <c r="Y158" s="11">
        <f t="shared" si="161"/>
        <v>75.255995628083056</v>
      </c>
      <c r="Z158" s="11">
        <f t="shared" si="161"/>
        <v>85.085287255673222</v>
      </c>
      <c r="AA158" s="11">
        <f t="shared" si="161"/>
        <v>96.042976748630565</v>
      </c>
      <c r="AB158" s="11">
        <f t="shared" si="161"/>
        <v>112.82857621882259</v>
      </c>
      <c r="AD158" s="39">
        <f t="shared" si="152"/>
        <v>7.5727581522390119</v>
      </c>
      <c r="AE158" s="39">
        <f t="shared" si="153"/>
        <v>1.8992472724007614</v>
      </c>
    </row>
    <row r="159" spans="1:31" x14ac:dyDescent="0.2">
      <c r="A159" s="10" t="str">
        <f t="shared" si="141"/>
        <v>31 Science, engineering and technology associate professionals</v>
      </c>
      <c r="B159" s="11">
        <f t="shared" si="141"/>
        <v>43.995185541434438</v>
      </c>
      <c r="C159" s="11">
        <f t="shared" si="145"/>
        <v>52.324421892950539</v>
      </c>
      <c r="D159" s="11">
        <f t="shared" si="145"/>
        <v>57.22704281714396</v>
      </c>
      <c r="E159" s="11">
        <f t="shared" si="145"/>
        <v>50.887180174802381</v>
      </c>
      <c r="F159" s="11">
        <f t="shared" si="145"/>
        <v>54.695032844743452</v>
      </c>
      <c r="H159" s="39">
        <f t="shared" si="146"/>
        <v>5.3996649164600896</v>
      </c>
      <c r="I159" s="39">
        <f t="shared" si="147"/>
        <v>-0.30123647041889745</v>
      </c>
      <c r="L159" s="10" t="str">
        <f t="shared" ref="L159:Q159" si="162">L14</f>
        <v>31 Science, engineering and technology associate professionals</v>
      </c>
      <c r="M159" s="11">
        <f t="shared" si="162"/>
        <v>32.292943422505523</v>
      </c>
      <c r="N159" s="11">
        <f t="shared" si="162"/>
        <v>39.442327912945551</v>
      </c>
      <c r="O159" s="11">
        <f t="shared" si="162"/>
        <v>41.135843935775256</v>
      </c>
      <c r="P159" s="11">
        <f t="shared" si="162"/>
        <v>34.088660872905095</v>
      </c>
      <c r="Q159" s="11">
        <f t="shared" si="162"/>
        <v>34.792218614813571</v>
      </c>
      <c r="S159" s="39">
        <f t="shared" si="149"/>
        <v>4.959694024177308</v>
      </c>
      <c r="T159" s="39">
        <f t="shared" si="150"/>
        <v>-1.1103634353014424</v>
      </c>
      <c r="W159" s="10" t="str">
        <f t="shared" ref="W159:AB159" si="163">W14</f>
        <v>31 Science, engineering and technology associate professionals</v>
      </c>
      <c r="X159" s="11">
        <f t="shared" si="163"/>
        <v>11.702242118928973</v>
      </c>
      <c r="Y159" s="11">
        <f t="shared" si="163"/>
        <v>12.882093980005026</v>
      </c>
      <c r="Z159" s="11">
        <f t="shared" si="163"/>
        <v>16.091198881368872</v>
      </c>
      <c r="AA159" s="11">
        <f t="shared" si="163"/>
        <v>16.798519301897279</v>
      </c>
      <c r="AB159" s="11">
        <f t="shared" si="163"/>
        <v>19.902814229929881</v>
      </c>
      <c r="AD159" s="39">
        <f t="shared" si="152"/>
        <v>6.5770916259476175</v>
      </c>
      <c r="AE159" s="39">
        <f t="shared" si="153"/>
        <v>1.4273485201238278</v>
      </c>
    </row>
    <row r="160" spans="1:31" x14ac:dyDescent="0.2">
      <c r="A160" s="10" t="str">
        <f t="shared" si="141"/>
        <v>32 Health and social care associate professionals</v>
      </c>
      <c r="B160" s="11">
        <f t="shared" si="141"/>
        <v>54.70334863148971</v>
      </c>
      <c r="C160" s="11">
        <f t="shared" si="145"/>
        <v>58.442565330285852</v>
      </c>
      <c r="D160" s="11">
        <f t="shared" si="145"/>
        <v>58.891200721634888</v>
      </c>
      <c r="E160" s="11">
        <f t="shared" si="145"/>
        <v>61.545763256510249</v>
      </c>
      <c r="F160" s="11">
        <f t="shared" si="145"/>
        <v>70.358001501575828</v>
      </c>
      <c r="H160" s="39">
        <f t="shared" si="146"/>
        <v>1.4862719943511848</v>
      </c>
      <c r="I160" s="39">
        <f t="shared" si="147"/>
        <v>1.1930934477469402</v>
      </c>
      <c r="L160" s="10" t="str">
        <f t="shared" ref="L160:Q160" si="164">L15</f>
        <v>32 Health and social care associate professionals</v>
      </c>
      <c r="M160" s="11">
        <f t="shared" si="164"/>
        <v>12.834472737615386</v>
      </c>
      <c r="N160" s="11">
        <f t="shared" si="164"/>
        <v>11.955856713735765</v>
      </c>
      <c r="O160" s="11">
        <f t="shared" si="164"/>
        <v>13.399853468043014</v>
      </c>
      <c r="P160" s="11">
        <f t="shared" si="164"/>
        <v>12.91108459188502</v>
      </c>
      <c r="Q160" s="11">
        <f t="shared" si="164"/>
        <v>14.449847405721906</v>
      </c>
      <c r="S160" s="39">
        <f t="shared" si="149"/>
        <v>0.8659082480560798</v>
      </c>
      <c r="T160" s="39">
        <f t="shared" si="150"/>
        <v>0.50420071980918912</v>
      </c>
      <c r="W160" s="10" t="str">
        <f t="shared" ref="W160:AB160" si="165">W15</f>
        <v>32 Health and social care associate professionals</v>
      </c>
      <c r="X160" s="11">
        <f t="shared" si="165"/>
        <v>41.868875893874304</v>
      </c>
      <c r="Y160" s="11">
        <f t="shared" si="165"/>
        <v>46.486708616550054</v>
      </c>
      <c r="Z160" s="11">
        <f t="shared" si="165"/>
        <v>45.491347253591869</v>
      </c>
      <c r="AA160" s="11">
        <f t="shared" si="165"/>
        <v>48.634678664625248</v>
      </c>
      <c r="AB160" s="11">
        <f t="shared" si="165"/>
        <v>55.908154095853853</v>
      </c>
      <c r="AD160" s="39">
        <f t="shared" si="152"/>
        <v>1.6734357717644199</v>
      </c>
      <c r="AE160" s="39">
        <f t="shared" si="153"/>
        <v>1.3840782303716548</v>
      </c>
    </row>
    <row r="161" spans="1:31" x14ac:dyDescent="0.2">
      <c r="A161" s="10" t="str">
        <f t="shared" si="141"/>
        <v>33 Protective service occupations</v>
      </c>
      <c r="B161" s="11">
        <f t="shared" si="141"/>
        <v>18.918456756356868</v>
      </c>
      <c r="C161" s="11">
        <f t="shared" si="145"/>
        <v>19.65663641320371</v>
      </c>
      <c r="D161" s="11">
        <f t="shared" si="145"/>
        <v>21.197229754485431</v>
      </c>
      <c r="E161" s="11">
        <f t="shared" si="145"/>
        <v>25.968342007031605</v>
      </c>
      <c r="F161" s="11">
        <f t="shared" si="145"/>
        <v>29.961326346665203</v>
      </c>
      <c r="H161" s="39">
        <f t="shared" si="146"/>
        <v>2.3007175925312096</v>
      </c>
      <c r="I161" s="39">
        <f t="shared" si="147"/>
        <v>2.3337278843928777</v>
      </c>
      <c r="L161" s="10" t="str">
        <f t="shared" ref="L161:Q161" si="166">L16</f>
        <v>33 Protective service occupations</v>
      </c>
      <c r="M161" s="11">
        <f t="shared" si="166"/>
        <v>14.553021218716779</v>
      </c>
      <c r="N161" s="11">
        <f t="shared" si="166"/>
        <v>14.597136108546858</v>
      </c>
      <c r="O161" s="11">
        <f t="shared" si="166"/>
        <v>15.559644764294029</v>
      </c>
      <c r="P161" s="11">
        <f t="shared" si="166"/>
        <v>18.314683029131626</v>
      </c>
      <c r="Q161" s="11">
        <f t="shared" si="166"/>
        <v>20.133102914513874</v>
      </c>
      <c r="S161" s="39">
        <f t="shared" si="149"/>
        <v>1.346627896763497</v>
      </c>
      <c r="T161" s="39">
        <f t="shared" si="150"/>
        <v>1.7327386143547008</v>
      </c>
      <c r="W161" s="10" t="str">
        <f t="shared" ref="W161:AB161" si="167">W16</f>
        <v>33 Protective service occupations</v>
      </c>
      <c r="X161" s="11">
        <f t="shared" si="167"/>
        <v>4.3654355376400931</v>
      </c>
      <c r="Y161" s="11">
        <f t="shared" si="167"/>
        <v>5.0595003046568756</v>
      </c>
      <c r="Z161" s="11">
        <f t="shared" si="167"/>
        <v>5.6375849901913844</v>
      </c>
      <c r="AA161" s="11">
        <f t="shared" si="167"/>
        <v>7.6536589779000046</v>
      </c>
      <c r="AB161" s="11">
        <f t="shared" si="167"/>
        <v>9.8282234321513737</v>
      </c>
      <c r="AD161" s="39">
        <f t="shared" si="152"/>
        <v>5.2478189029914635</v>
      </c>
      <c r="AE161" s="39">
        <f t="shared" si="153"/>
        <v>3.7748532539440882</v>
      </c>
    </row>
    <row r="162" spans="1:31" x14ac:dyDescent="0.2">
      <c r="A162" s="10" t="str">
        <f t="shared" si="141"/>
        <v>34 Culture, media and sports occupations</v>
      </c>
      <c r="B162" s="11">
        <f t="shared" si="141"/>
        <v>57.633479740380658</v>
      </c>
      <c r="C162" s="11">
        <f t="shared" si="145"/>
        <v>62.64236339604215</v>
      </c>
      <c r="D162" s="11">
        <f t="shared" si="145"/>
        <v>62.187444415764752</v>
      </c>
      <c r="E162" s="11">
        <f t="shared" si="145"/>
        <v>65.396091153214783</v>
      </c>
      <c r="F162" s="11">
        <f t="shared" si="145"/>
        <v>75.861044003421796</v>
      </c>
      <c r="H162" s="39">
        <f t="shared" si="146"/>
        <v>1.532615449320196</v>
      </c>
      <c r="I162" s="39">
        <f t="shared" si="147"/>
        <v>1.3338182216056982</v>
      </c>
      <c r="L162" s="10" t="str">
        <f t="shared" ref="L162:Q162" si="168">L17</f>
        <v>34 Culture, media and sports occupations</v>
      </c>
      <c r="M162" s="11">
        <f t="shared" si="168"/>
        <v>28.514829118001455</v>
      </c>
      <c r="N162" s="11">
        <f t="shared" si="168"/>
        <v>29.173332322561777</v>
      </c>
      <c r="O162" s="11">
        <f t="shared" si="168"/>
        <v>26.582640202544823</v>
      </c>
      <c r="P162" s="11">
        <f t="shared" si="168"/>
        <v>27.92740952078524</v>
      </c>
      <c r="Q162" s="11">
        <f t="shared" si="168"/>
        <v>32.365737137121499</v>
      </c>
      <c r="S162" s="39">
        <f t="shared" si="149"/>
        <v>-1.3935172552761999</v>
      </c>
      <c r="T162" s="39">
        <f t="shared" si="150"/>
        <v>1.3209281058196298</v>
      </c>
      <c r="W162" s="10" t="str">
        <f t="shared" ref="W162:AB162" si="169">W17</f>
        <v>34 Culture, media and sports occupations</v>
      </c>
      <c r="X162" s="11">
        <f t="shared" si="169"/>
        <v>29.118650622379214</v>
      </c>
      <c r="Y162" s="11">
        <f t="shared" si="169"/>
        <v>33.469031073480338</v>
      </c>
      <c r="Z162" s="11">
        <f t="shared" si="169"/>
        <v>35.604804213220092</v>
      </c>
      <c r="AA162" s="11">
        <f t="shared" si="169"/>
        <v>37.468681632429387</v>
      </c>
      <c r="AB162" s="11">
        <f t="shared" si="169"/>
        <v>43.495306866300233</v>
      </c>
      <c r="AD162" s="39">
        <f t="shared" si="152"/>
        <v>4.1040130628287708</v>
      </c>
      <c r="AE162" s="39">
        <f t="shared" si="153"/>
        <v>1.3434270706018436</v>
      </c>
    </row>
    <row r="163" spans="1:31" x14ac:dyDescent="0.2">
      <c r="A163" s="10" t="str">
        <f t="shared" si="141"/>
        <v>35 Business and public service associate professionals</v>
      </c>
      <c r="B163" s="11">
        <f t="shared" si="141"/>
        <v>156.95041475761286</v>
      </c>
      <c r="C163" s="11">
        <f t="shared" si="145"/>
        <v>168.68090546711812</v>
      </c>
      <c r="D163" s="11">
        <f t="shared" si="145"/>
        <v>176.2464226534758</v>
      </c>
      <c r="E163" s="11">
        <f t="shared" si="145"/>
        <v>172.1322735103268</v>
      </c>
      <c r="F163" s="11">
        <f t="shared" si="145"/>
        <v>180.73388845504215</v>
      </c>
      <c r="H163" s="39">
        <f t="shared" si="146"/>
        <v>2.3461637481438036</v>
      </c>
      <c r="I163" s="39">
        <f t="shared" si="147"/>
        <v>0.16775772545101209</v>
      </c>
      <c r="L163" s="10" t="str">
        <f t="shared" ref="L163:Q163" si="170">L18</f>
        <v>35 Business and public service associate professionals</v>
      </c>
      <c r="M163" s="11">
        <f t="shared" si="170"/>
        <v>87.041483688037502</v>
      </c>
      <c r="N163" s="11">
        <f t="shared" si="170"/>
        <v>90.296748531675519</v>
      </c>
      <c r="O163" s="11">
        <f t="shared" si="170"/>
        <v>93.471933376030194</v>
      </c>
      <c r="P163" s="11">
        <f t="shared" si="170"/>
        <v>87.644534151931481</v>
      </c>
      <c r="Q163" s="11">
        <f t="shared" si="170"/>
        <v>87.7969855098425</v>
      </c>
      <c r="S163" s="39">
        <f t="shared" si="149"/>
        <v>1.4357367879547001</v>
      </c>
      <c r="T163" s="39">
        <f t="shared" si="150"/>
        <v>-0.41668974229864819</v>
      </c>
      <c r="W163" s="10" t="str">
        <f t="shared" ref="W163:AB163" si="171">W18</f>
        <v>35 Business and public service associate professionals</v>
      </c>
      <c r="X163" s="11">
        <f t="shared" si="171"/>
        <v>69.908931069575459</v>
      </c>
      <c r="Y163" s="11">
        <f t="shared" si="171"/>
        <v>78.384156935442434</v>
      </c>
      <c r="Z163" s="11">
        <f t="shared" si="171"/>
        <v>82.774489277445284</v>
      </c>
      <c r="AA163" s="11">
        <f t="shared" si="171"/>
        <v>84.487739358395444</v>
      </c>
      <c r="AB163" s="11">
        <f t="shared" si="171"/>
        <v>92.936902945199435</v>
      </c>
      <c r="AD163" s="39">
        <f t="shared" si="152"/>
        <v>3.436250589591805</v>
      </c>
      <c r="AE163" s="39">
        <f t="shared" si="153"/>
        <v>0.77499355917864943</v>
      </c>
    </row>
    <row r="164" spans="1:31" x14ac:dyDescent="0.2">
      <c r="A164" s="10" t="str">
        <f t="shared" si="141"/>
        <v>41 Administrative occupations</v>
      </c>
      <c r="B164" s="11">
        <f t="shared" si="141"/>
        <v>230.65190493606553</v>
      </c>
      <c r="C164" s="11">
        <f t="shared" si="145"/>
        <v>227.98629979690097</v>
      </c>
      <c r="D164" s="11">
        <f t="shared" si="145"/>
        <v>240.29715716047514</v>
      </c>
      <c r="E164" s="11">
        <f t="shared" si="145"/>
        <v>222.21315201120595</v>
      </c>
      <c r="F164" s="11">
        <f t="shared" si="145"/>
        <v>210.08774549657949</v>
      </c>
      <c r="H164" s="39">
        <f t="shared" si="146"/>
        <v>0.82269858431445186</v>
      </c>
      <c r="I164" s="39">
        <f t="shared" si="147"/>
        <v>-0.89167434760123454</v>
      </c>
      <c r="L164" s="10" t="str">
        <f t="shared" ref="L164:Q164" si="172">L19</f>
        <v>41 Administrative occupations</v>
      </c>
      <c r="M164" s="11">
        <f t="shared" si="172"/>
        <v>61.14576183096257</v>
      </c>
      <c r="N164" s="11">
        <f t="shared" si="172"/>
        <v>55.861529642878637</v>
      </c>
      <c r="O164" s="11">
        <f t="shared" si="172"/>
        <v>66.905200852534307</v>
      </c>
      <c r="P164" s="11">
        <f t="shared" si="172"/>
        <v>63.085371500294215</v>
      </c>
      <c r="Q164" s="11">
        <f t="shared" si="172"/>
        <v>66.447834846858285</v>
      </c>
      <c r="S164" s="39">
        <f t="shared" si="149"/>
        <v>1.8166265637570067</v>
      </c>
      <c r="T164" s="39">
        <f t="shared" si="150"/>
        <v>-4.5719567900259772E-2</v>
      </c>
      <c r="W164" s="10" t="str">
        <f t="shared" ref="W164:AB164" si="173">W19</f>
        <v>41 Administrative occupations</v>
      </c>
      <c r="X164" s="11">
        <f t="shared" si="173"/>
        <v>169.50614310510326</v>
      </c>
      <c r="Y164" s="11">
        <f t="shared" si="173"/>
        <v>172.12477015402229</v>
      </c>
      <c r="Z164" s="11">
        <f t="shared" si="173"/>
        <v>173.39195630794055</v>
      </c>
      <c r="AA164" s="11">
        <f t="shared" si="173"/>
        <v>159.1277805109118</v>
      </c>
      <c r="AB164" s="11">
        <f t="shared" si="173"/>
        <v>143.63991064972134</v>
      </c>
      <c r="AD164" s="39">
        <f t="shared" si="152"/>
        <v>0.45433913513677204</v>
      </c>
      <c r="AE164" s="39">
        <f t="shared" si="153"/>
        <v>-1.2471256404625097</v>
      </c>
    </row>
    <row r="165" spans="1:31" x14ac:dyDescent="0.2">
      <c r="A165" s="10" t="str">
        <f t="shared" si="141"/>
        <v>42 Secretarial and related occupations</v>
      </c>
      <c r="B165" s="11">
        <f t="shared" si="141"/>
        <v>59.576249167735241</v>
      </c>
      <c r="C165" s="11">
        <f t="shared" si="145"/>
        <v>55.290868543472513</v>
      </c>
      <c r="D165" s="11">
        <f t="shared" si="145"/>
        <v>54.043742760928943</v>
      </c>
      <c r="E165" s="11">
        <f t="shared" si="145"/>
        <v>57.326820709618758</v>
      </c>
      <c r="F165" s="11">
        <f t="shared" si="145"/>
        <v>51.542087035107386</v>
      </c>
      <c r="H165" s="39">
        <f t="shared" si="146"/>
        <v>-1.9303891027978137</v>
      </c>
      <c r="I165" s="39">
        <f t="shared" si="147"/>
        <v>-0.31546849495365237</v>
      </c>
      <c r="L165" s="10" t="str">
        <f t="shared" ref="L165:Q165" si="174">L20</f>
        <v>42 Secretarial and related occupations</v>
      </c>
      <c r="M165" s="11">
        <f t="shared" si="174"/>
        <v>6.2705006316772991</v>
      </c>
      <c r="N165" s="11">
        <f t="shared" si="174"/>
        <v>4.7369225531100332</v>
      </c>
      <c r="O165" s="11">
        <f t="shared" si="174"/>
        <v>4.4042167043455178</v>
      </c>
      <c r="P165" s="11">
        <f t="shared" si="174"/>
        <v>6.2788973138204662</v>
      </c>
      <c r="Q165" s="11">
        <f t="shared" si="174"/>
        <v>7.8393588362517894</v>
      </c>
      <c r="S165" s="39">
        <f t="shared" si="149"/>
        <v>-6.8220196568146818</v>
      </c>
      <c r="T165" s="39">
        <f t="shared" si="150"/>
        <v>3.9188002880016892</v>
      </c>
      <c r="W165" s="10" t="str">
        <f t="shared" ref="W165:AB165" si="175">W20</f>
        <v>42 Secretarial and related occupations</v>
      </c>
      <c r="X165" s="11">
        <f t="shared" si="175"/>
        <v>53.305748536057941</v>
      </c>
      <c r="Y165" s="11">
        <f t="shared" si="175"/>
        <v>50.553945990362486</v>
      </c>
      <c r="Z165" s="11">
        <f t="shared" si="175"/>
        <v>49.639526056583435</v>
      </c>
      <c r="AA165" s="11">
        <f t="shared" si="175"/>
        <v>51.0479233957983</v>
      </c>
      <c r="AB165" s="11">
        <f t="shared" si="175"/>
        <v>43.702728198855574</v>
      </c>
      <c r="AD165" s="39">
        <f t="shared" si="152"/>
        <v>-1.4150283192473134</v>
      </c>
      <c r="AE165" s="39">
        <f t="shared" si="153"/>
        <v>-0.84558387311054473</v>
      </c>
    </row>
    <row r="166" spans="1:31" x14ac:dyDescent="0.2">
      <c r="A166" s="10" t="str">
        <f t="shared" si="141"/>
        <v>51 Skilled agricultural and related trades</v>
      </c>
      <c r="B166" s="11">
        <f t="shared" si="141"/>
        <v>41.074614853304986</v>
      </c>
      <c r="C166" s="11">
        <f t="shared" si="145"/>
        <v>39.9365454081248</v>
      </c>
      <c r="D166" s="11">
        <f t="shared" si="145"/>
        <v>43.38976416600206</v>
      </c>
      <c r="E166" s="11">
        <f t="shared" si="145"/>
        <v>43.637142204273772</v>
      </c>
      <c r="F166" s="11">
        <f t="shared" si="145"/>
        <v>47.518729761157019</v>
      </c>
      <c r="H166" s="39">
        <f t="shared" si="146"/>
        <v>1.1027009666256804</v>
      </c>
      <c r="I166" s="39">
        <f t="shared" si="147"/>
        <v>0.60784244009939314</v>
      </c>
      <c r="L166" s="10" t="str">
        <f t="shared" ref="L166:Q166" si="176">L21</f>
        <v>51 Skilled agricultural and related trades</v>
      </c>
      <c r="M166" s="11">
        <f t="shared" si="176"/>
        <v>36.977628000777599</v>
      </c>
      <c r="N166" s="11">
        <f t="shared" si="176"/>
        <v>35.057437323113533</v>
      </c>
      <c r="O166" s="11">
        <f t="shared" si="176"/>
        <v>37.864920023095074</v>
      </c>
      <c r="P166" s="11">
        <f t="shared" si="176"/>
        <v>37.802827708965218</v>
      </c>
      <c r="Q166" s="11">
        <f t="shared" si="176"/>
        <v>40.041180711108417</v>
      </c>
      <c r="S166" s="39">
        <f t="shared" si="149"/>
        <v>0.47536648374695289</v>
      </c>
      <c r="T166" s="39">
        <f t="shared" si="150"/>
        <v>0.37325053062051694</v>
      </c>
      <c r="W166" s="10" t="str">
        <f t="shared" ref="W166:AB166" si="177">W21</f>
        <v>51 Skilled agricultural and related trades</v>
      </c>
      <c r="X166" s="11">
        <f t="shared" si="177"/>
        <v>4.0969868525272553</v>
      </c>
      <c r="Y166" s="11">
        <f t="shared" si="177"/>
        <v>4.8791080850112456</v>
      </c>
      <c r="Z166" s="11">
        <f t="shared" si="177"/>
        <v>5.5248441429069528</v>
      </c>
      <c r="AA166" s="11">
        <f t="shared" si="177"/>
        <v>5.8343144953084911</v>
      </c>
      <c r="AB166" s="11">
        <f t="shared" si="177"/>
        <v>7.4775490500484612</v>
      </c>
      <c r="AD166" s="39">
        <f t="shared" si="152"/>
        <v>6.1624890116787068</v>
      </c>
      <c r="AE166" s="39">
        <f t="shared" si="153"/>
        <v>2.0381593804816855</v>
      </c>
    </row>
    <row r="167" spans="1:31" x14ac:dyDescent="0.2">
      <c r="A167" s="10" t="str">
        <f t="shared" si="141"/>
        <v>52 Skilled metal, electrical and electronic trades</v>
      </c>
      <c r="B167" s="11">
        <f t="shared" si="141"/>
        <v>119.78442551978591</v>
      </c>
      <c r="C167" s="11">
        <f t="shared" si="145"/>
        <v>117.51869225195854</v>
      </c>
      <c r="D167" s="11">
        <f t="shared" si="145"/>
        <v>105.38577813988417</v>
      </c>
      <c r="E167" s="11">
        <f t="shared" si="145"/>
        <v>104.59063274076206</v>
      </c>
      <c r="F167" s="11">
        <f t="shared" si="145"/>
        <v>101.33738383927199</v>
      </c>
      <c r="H167" s="39">
        <f t="shared" si="146"/>
        <v>-2.5287960486382155</v>
      </c>
      <c r="I167" s="39">
        <f t="shared" si="147"/>
        <v>-0.2608080413666114</v>
      </c>
      <c r="L167" s="10" t="str">
        <f t="shared" ref="L167:Q167" si="178">L22</f>
        <v>52 Skilled metal, electrical and electronic trades</v>
      </c>
      <c r="M167" s="11">
        <f t="shared" si="178"/>
        <v>117.64816989119569</v>
      </c>
      <c r="N167" s="11">
        <f t="shared" si="178"/>
        <v>113.85162782797698</v>
      </c>
      <c r="O167" s="11">
        <f t="shared" si="178"/>
        <v>102.48517582773572</v>
      </c>
      <c r="P167" s="11">
        <f t="shared" si="178"/>
        <v>98.117013661347343</v>
      </c>
      <c r="Q167" s="11">
        <f t="shared" si="178"/>
        <v>92.197140140067447</v>
      </c>
      <c r="S167" s="39">
        <f t="shared" si="149"/>
        <v>-2.7218786263131012</v>
      </c>
      <c r="T167" s="39">
        <f t="shared" si="150"/>
        <v>-0.70277920867023447</v>
      </c>
      <c r="W167" s="10" t="str">
        <f t="shared" ref="W167:AB167" si="179">W22</f>
        <v>52 Skilled metal, electrical and electronic trades</v>
      </c>
      <c r="X167" s="11">
        <f t="shared" si="179"/>
        <v>2.1362556285902117</v>
      </c>
      <c r="Y167" s="11">
        <f t="shared" si="179"/>
        <v>3.6670644239815182</v>
      </c>
      <c r="Z167" s="11">
        <f t="shared" si="179"/>
        <v>2.9006023121482807</v>
      </c>
      <c r="AA167" s="11">
        <f t="shared" si="179"/>
        <v>6.4736190794147754</v>
      </c>
      <c r="AB167" s="11">
        <f t="shared" si="179"/>
        <v>9.1402436992043619</v>
      </c>
      <c r="AD167" s="39">
        <f t="shared" si="152"/>
        <v>6.3082560511775299</v>
      </c>
      <c r="AE167" s="39">
        <f t="shared" si="153"/>
        <v>7.9521523586470355</v>
      </c>
    </row>
    <row r="168" spans="1:31" x14ac:dyDescent="0.2">
      <c r="A168" s="10" t="str">
        <f t="shared" si="141"/>
        <v>53 Skilled construction and building trades</v>
      </c>
      <c r="B168" s="11">
        <f t="shared" si="141"/>
        <v>111.7064966465005</v>
      </c>
      <c r="C168" s="11">
        <f t="shared" si="145"/>
        <v>115.93625145857176</v>
      </c>
      <c r="D168" s="11">
        <f t="shared" si="145"/>
        <v>93.794072482198729</v>
      </c>
      <c r="E168" s="11">
        <f t="shared" si="145"/>
        <v>102.69428827818803</v>
      </c>
      <c r="F168" s="11">
        <f t="shared" si="145"/>
        <v>103.36815417917676</v>
      </c>
      <c r="H168" s="39">
        <f t="shared" si="146"/>
        <v>-3.4350783869264157</v>
      </c>
      <c r="I168" s="39">
        <f t="shared" si="147"/>
        <v>0.6500723046203527</v>
      </c>
      <c r="L168" s="10" t="str">
        <f t="shared" ref="L168:Q168" si="180">L23</f>
        <v>53 Skilled construction and building trades</v>
      </c>
      <c r="M168" s="11">
        <f t="shared" si="180"/>
        <v>110.20593548867936</v>
      </c>
      <c r="N168" s="11">
        <f t="shared" si="180"/>
        <v>114.03961437615249</v>
      </c>
      <c r="O168" s="11">
        <f t="shared" si="180"/>
        <v>91.528853254471713</v>
      </c>
      <c r="P168" s="11">
        <f t="shared" si="180"/>
        <v>100.12659858696004</v>
      </c>
      <c r="Q168" s="11">
        <f t="shared" si="180"/>
        <v>100.26053977692051</v>
      </c>
      <c r="S168" s="39">
        <f t="shared" si="149"/>
        <v>-3.6458094932270368</v>
      </c>
      <c r="T168" s="39">
        <f t="shared" si="150"/>
        <v>0.60930164940717901</v>
      </c>
      <c r="W168" s="10" t="str">
        <f t="shared" ref="W168:AB168" si="181">W23</f>
        <v>53 Skilled construction and building trades</v>
      </c>
      <c r="X168" s="11">
        <f t="shared" si="181"/>
        <v>1.5005611578211298</v>
      </c>
      <c r="Y168" s="11">
        <f t="shared" si="181"/>
        <v>1.8966370824192864</v>
      </c>
      <c r="Z168" s="11">
        <f t="shared" si="181"/>
        <v>2.2652192277268988</v>
      </c>
      <c r="AA168" s="11">
        <f t="shared" si="181"/>
        <v>2.5676896912280629</v>
      </c>
      <c r="AB168" s="11">
        <f t="shared" si="181"/>
        <v>3.1076144022561487</v>
      </c>
      <c r="AD168" s="39">
        <f t="shared" si="152"/>
        <v>8.5853680613530603</v>
      </c>
      <c r="AE168" s="39">
        <f t="shared" si="153"/>
        <v>2.1302650688662883</v>
      </c>
    </row>
    <row r="169" spans="1:31" x14ac:dyDescent="0.2">
      <c r="A169" s="10" t="str">
        <f t="shared" si="141"/>
        <v>54 Textiles, printing and other skilled trades</v>
      </c>
      <c r="B169" s="11">
        <f t="shared" si="141"/>
        <v>59.378092512611914</v>
      </c>
      <c r="C169" s="11">
        <f t="shared" si="145"/>
        <v>56.992633434301148</v>
      </c>
      <c r="D169" s="11">
        <f t="shared" si="145"/>
        <v>55.443570145470069</v>
      </c>
      <c r="E169" s="11">
        <f t="shared" si="145"/>
        <v>56.258672802843392</v>
      </c>
      <c r="F169" s="11">
        <f t="shared" si="145"/>
        <v>54.266577337981488</v>
      </c>
      <c r="H169" s="39">
        <f t="shared" si="146"/>
        <v>-1.3618339055217255</v>
      </c>
      <c r="I169" s="39">
        <f t="shared" si="147"/>
        <v>-0.1429459386828924</v>
      </c>
      <c r="L169" s="10" t="str">
        <f t="shared" ref="L169:Q169" si="182">L24</f>
        <v>54 Textiles, printing and other skilled trades</v>
      </c>
      <c r="M169" s="11">
        <f t="shared" si="182"/>
        <v>35.517535424723107</v>
      </c>
      <c r="N169" s="11">
        <f t="shared" si="182"/>
        <v>33.436898810544363</v>
      </c>
      <c r="O169" s="11">
        <f t="shared" si="182"/>
        <v>30.004086961532259</v>
      </c>
      <c r="P169" s="11">
        <f t="shared" si="182"/>
        <v>29.759755172426509</v>
      </c>
      <c r="Q169" s="11">
        <f t="shared" si="182"/>
        <v>28.141886668929022</v>
      </c>
      <c r="S169" s="39">
        <f t="shared" si="149"/>
        <v>-3.3175786181679934</v>
      </c>
      <c r="T169" s="39">
        <f t="shared" si="150"/>
        <v>-0.42625234946066515</v>
      </c>
      <c r="W169" s="10" t="str">
        <f t="shared" ref="W169:AB169" si="183">W24</f>
        <v>54 Textiles, printing and other skilled trades</v>
      </c>
      <c r="X169" s="11">
        <f t="shared" si="183"/>
        <v>23.860557087888857</v>
      </c>
      <c r="Y169" s="11">
        <f t="shared" si="183"/>
        <v>23.555734623756678</v>
      </c>
      <c r="Z169" s="11">
        <f t="shared" si="183"/>
        <v>25.439483183937963</v>
      </c>
      <c r="AA169" s="11">
        <f t="shared" si="183"/>
        <v>26.498917630416891</v>
      </c>
      <c r="AB169" s="11">
        <f t="shared" si="183"/>
        <v>26.124690669052541</v>
      </c>
      <c r="AD169" s="39">
        <f t="shared" si="152"/>
        <v>1.2897597409184725</v>
      </c>
      <c r="AE169" s="39">
        <f t="shared" si="153"/>
        <v>0.17734671778935063</v>
      </c>
    </row>
    <row r="170" spans="1:31" x14ac:dyDescent="0.2">
      <c r="A170" s="10" t="str">
        <f t="shared" si="141"/>
        <v>61 Caring personal service occupations</v>
      </c>
      <c r="B170" s="11">
        <f t="shared" si="141"/>
        <v>226.34981501818203</v>
      </c>
      <c r="C170" s="11">
        <f t="shared" si="145"/>
        <v>223.82371960747344</v>
      </c>
      <c r="D170" s="11">
        <f t="shared" si="145"/>
        <v>213.74995100728043</v>
      </c>
      <c r="E170" s="11">
        <f t="shared" si="145"/>
        <v>235.35687974236151</v>
      </c>
      <c r="F170" s="11">
        <f t="shared" si="145"/>
        <v>261.37055548425388</v>
      </c>
      <c r="H170" s="39">
        <f t="shared" si="146"/>
        <v>-1.1389597399025009</v>
      </c>
      <c r="I170" s="39">
        <f t="shared" si="147"/>
        <v>1.3499119672925275</v>
      </c>
      <c r="L170" s="10" t="str">
        <f t="shared" ref="L170:Q170" si="184">L25</f>
        <v>61 Caring personal service occupations</v>
      </c>
      <c r="M170" s="11">
        <f t="shared" si="184"/>
        <v>23.089651675540306</v>
      </c>
      <c r="N170" s="11">
        <f t="shared" si="184"/>
        <v>21.754706649602223</v>
      </c>
      <c r="O170" s="11">
        <f t="shared" si="184"/>
        <v>21.691970638647025</v>
      </c>
      <c r="P170" s="11">
        <f t="shared" si="184"/>
        <v>27.288270802242007</v>
      </c>
      <c r="Q170" s="11">
        <f t="shared" si="184"/>
        <v>33.027594035640121</v>
      </c>
      <c r="S170" s="39">
        <f t="shared" si="149"/>
        <v>-1.2410815101854156</v>
      </c>
      <c r="T170" s="39">
        <f t="shared" si="150"/>
        <v>2.842319228536172</v>
      </c>
      <c r="W170" s="10" t="str">
        <f t="shared" ref="W170:AB170" si="185">W25</f>
        <v>61 Caring personal service occupations</v>
      </c>
      <c r="X170" s="11">
        <f t="shared" si="185"/>
        <v>203.26016334264176</v>
      </c>
      <c r="Y170" s="11">
        <f t="shared" si="185"/>
        <v>202.06901295787125</v>
      </c>
      <c r="Z170" s="11">
        <f t="shared" si="185"/>
        <v>192.05798036863345</v>
      </c>
      <c r="AA170" s="11">
        <f t="shared" si="185"/>
        <v>208.06860894011953</v>
      </c>
      <c r="AB170" s="11">
        <f t="shared" si="185"/>
        <v>228.34296144861375</v>
      </c>
      <c r="AD170" s="39">
        <f t="shared" si="152"/>
        <v>-1.127385712149731</v>
      </c>
      <c r="AE170" s="39">
        <f t="shared" si="153"/>
        <v>1.1603565619844103</v>
      </c>
    </row>
    <row r="171" spans="1:31" x14ac:dyDescent="0.2">
      <c r="A171" s="10" t="str">
        <f t="shared" si="141"/>
        <v>62 Leisure, travel and related personal service occupations</v>
      </c>
      <c r="B171" s="11">
        <f t="shared" si="141"/>
        <v>61.407742014586113</v>
      </c>
      <c r="C171" s="11">
        <f t="shared" si="145"/>
        <v>68.70716383370474</v>
      </c>
      <c r="D171" s="11">
        <f t="shared" si="145"/>
        <v>60.737895765777509</v>
      </c>
      <c r="E171" s="11">
        <f t="shared" si="145"/>
        <v>66.143086174876487</v>
      </c>
      <c r="F171" s="11">
        <f t="shared" si="145"/>
        <v>72.595305939625703</v>
      </c>
      <c r="H171" s="39">
        <f t="shared" si="146"/>
        <v>-0.21912163591644163</v>
      </c>
      <c r="I171" s="39">
        <f t="shared" si="147"/>
        <v>1.1959782877981162</v>
      </c>
      <c r="L171" s="10" t="str">
        <f t="shared" ref="L171:Q171" si="186">L26</f>
        <v>62 Leisure, travel and related personal service occupations</v>
      </c>
      <c r="M171" s="11">
        <f t="shared" si="186"/>
        <v>16.378106119000517</v>
      </c>
      <c r="N171" s="11">
        <f t="shared" si="186"/>
        <v>19.158468072199803</v>
      </c>
      <c r="O171" s="11">
        <f t="shared" si="186"/>
        <v>18.876929962834836</v>
      </c>
      <c r="P171" s="11">
        <f t="shared" si="186"/>
        <v>20.372887001390353</v>
      </c>
      <c r="Q171" s="11">
        <f t="shared" si="186"/>
        <v>23.174193523667064</v>
      </c>
      <c r="S171" s="39">
        <f t="shared" si="149"/>
        <v>2.8806114567282659</v>
      </c>
      <c r="T171" s="39">
        <f t="shared" si="150"/>
        <v>1.3767157872686342</v>
      </c>
      <c r="W171" s="10" t="str">
        <f t="shared" ref="W171:AB171" si="187">W26</f>
        <v>62 Leisure, travel and related personal service occupations</v>
      </c>
      <c r="X171" s="11">
        <f t="shared" si="187"/>
        <v>45.029635895585571</v>
      </c>
      <c r="Y171" s="11">
        <f t="shared" si="187"/>
        <v>49.548695761505002</v>
      </c>
      <c r="Z171" s="11">
        <f t="shared" si="187"/>
        <v>41.860965802942616</v>
      </c>
      <c r="AA171" s="11">
        <f t="shared" si="187"/>
        <v>45.770199173486063</v>
      </c>
      <c r="AB171" s="11">
        <f t="shared" si="187"/>
        <v>49.421112415958603</v>
      </c>
      <c r="AD171" s="39">
        <f t="shared" si="152"/>
        <v>-1.4487444166742747</v>
      </c>
      <c r="AE171" s="39">
        <f t="shared" si="153"/>
        <v>1.1129741205141652</v>
      </c>
    </row>
    <row r="172" spans="1:31" x14ac:dyDescent="0.2">
      <c r="A172" s="10" t="str">
        <f t="shared" si="141"/>
        <v>63 Community and civil enforcement occupations</v>
      </c>
      <c r="B172" s="11">
        <f t="shared" si="141"/>
        <v>2.3131508259259101</v>
      </c>
      <c r="C172" s="11">
        <f t="shared" si="145"/>
        <v>1.9078836606945633</v>
      </c>
      <c r="D172" s="11">
        <f t="shared" si="145"/>
        <v>2.5974855797046024</v>
      </c>
      <c r="E172" s="11">
        <f t="shared" si="145"/>
        <v>1.9940000216567171</v>
      </c>
      <c r="F172" s="11">
        <f t="shared" si="145"/>
        <v>2.1017933821101242</v>
      </c>
      <c r="H172" s="39">
        <f t="shared" si="146"/>
        <v>2.3457560987282466</v>
      </c>
      <c r="I172" s="39">
        <f t="shared" si="147"/>
        <v>-1.4017685717510719</v>
      </c>
      <c r="L172" s="10" t="str">
        <f t="shared" ref="L172:Q172" si="188">L27</f>
        <v>63 Community and civil enforcement occupations</v>
      </c>
      <c r="M172" s="11">
        <f t="shared" si="188"/>
        <v>1.8425907461153563</v>
      </c>
      <c r="N172" s="11">
        <f t="shared" si="188"/>
        <v>1.312790301309946</v>
      </c>
      <c r="O172" s="11">
        <f t="shared" si="188"/>
        <v>2.0683623969275833</v>
      </c>
      <c r="P172" s="11">
        <f t="shared" si="188"/>
        <v>1.3080100265011601</v>
      </c>
      <c r="Q172" s="11">
        <f t="shared" si="188"/>
        <v>1.4448210626147993</v>
      </c>
      <c r="S172" s="39">
        <f t="shared" si="149"/>
        <v>2.3386184019568823</v>
      </c>
      <c r="T172" s="39">
        <f t="shared" si="150"/>
        <v>-2.3634342172712541</v>
      </c>
      <c r="W172" s="10" t="str">
        <f t="shared" ref="W172:AB172" si="189">W27</f>
        <v>63 Community and civil enforcement occupations</v>
      </c>
      <c r="X172" s="11">
        <f t="shared" si="189"/>
        <v>0.47056007981055364</v>
      </c>
      <c r="Y172" s="11">
        <f t="shared" si="189"/>
        <v>0.59509335938461627</v>
      </c>
      <c r="Z172" s="11">
        <f t="shared" si="189"/>
        <v>0.52912318277701664</v>
      </c>
      <c r="AA172" s="11">
        <f t="shared" si="189"/>
        <v>0.68598999515555503</v>
      </c>
      <c r="AB172" s="11">
        <f t="shared" si="189"/>
        <v>0.65697231949532697</v>
      </c>
      <c r="AD172" s="39">
        <f t="shared" si="152"/>
        <v>2.3736863140751296</v>
      </c>
      <c r="AE172" s="39">
        <f t="shared" si="153"/>
        <v>1.4532628010152315</v>
      </c>
    </row>
    <row r="173" spans="1:31" x14ac:dyDescent="0.2">
      <c r="A173" s="10" t="str">
        <f t="shared" si="141"/>
        <v>71 Sales occupations</v>
      </c>
      <c r="B173" s="11">
        <f t="shared" si="141"/>
        <v>215.33943518586108</v>
      </c>
      <c r="C173" s="11">
        <f t="shared" si="145"/>
        <v>205.67561264127193</v>
      </c>
      <c r="D173" s="11">
        <f t="shared" si="145"/>
        <v>205.71646638462903</v>
      </c>
      <c r="E173" s="11">
        <f t="shared" si="145"/>
        <v>193.54246535149821</v>
      </c>
      <c r="F173" s="11">
        <f t="shared" si="145"/>
        <v>183.50111866544393</v>
      </c>
      <c r="H173" s="39">
        <f t="shared" si="146"/>
        <v>-0.91016682706331897</v>
      </c>
      <c r="I173" s="39">
        <f t="shared" si="147"/>
        <v>-0.75895911730006205</v>
      </c>
      <c r="L173" s="10" t="str">
        <f t="shared" ref="L173:Q173" si="190">L28</f>
        <v>71 Sales occupations</v>
      </c>
      <c r="M173" s="11">
        <f t="shared" si="190"/>
        <v>80.723769513229811</v>
      </c>
      <c r="N173" s="11">
        <f t="shared" si="190"/>
        <v>79.43973051486698</v>
      </c>
      <c r="O173" s="11">
        <f t="shared" si="190"/>
        <v>79.79323529189837</v>
      </c>
      <c r="P173" s="11">
        <f t="shared" si="190"/>
        <v>75.902217122687318</v>
      </c>
      <c r="Q173" s="11">
        <f t="shared" si="190"/>
        <v>74.901861463246405</v>
      </c>
      <c r="S173" s="39">
        <f t="shared" si="149"/>
        <v>-0.23161822006098065</v>
      </c>
      <c r="T173" s="39">
        <f t="shared" si="150"/>
        <v>-0.42084520232470446</v>
      </c>
      <c r="W173" s="10" t="str">
        <f t="shared" ref="W173:AB173" si="191">W28</f>
        <v>71 Sales occupations</v>
      </c>
      <c r="X173" s="11">
        <f t="shared" si="191"/>
        <v>134.61566567263142</v>
      </c>
      <c r="Y173" s="11">
        <f t="shared" si="191"/>
        <v>126.23588212640554</v>
      </c>
      <c r="Z173" s="11">
        <f t="shared" si="191"/>
        <v>125.92323109273038</v>
      </c>
      <c r="AA173" s="11">
        <f t="shared" si="191"/>
        <v>117.64024822881061</v>
      </c>
      <c r="AB173" s="11">
        <f t="shared" si="191"/>
        <v>108.59925720219753</v>
      </c>
      <c r="AD173" s="39">
        <f t="shared" si="152"/>
        <v>-1.3261551002901051</v>
      </c>
      <c r="AE173" s="39">
        <f t="shared" si="153"/>
        <v>-0.98186707503322701</v>
      </c>
    </row>
    <row r="174" spans="1:31" x14ac:dyDescent="0.2">
      <c r="A174" s="10" t="str">
        <f t="shared" si="141"/>
        <v>72 Customer service occupations</v>
      </c>
      <c r="B174" s="11">
        <f t="shared" si="141"/>
        <v>41.500878516960952</v>
      </c>
      <c r="C174" s="11">
        <f t="shared" si="145"/>
        <v>45.630304505872942</v>
      </c>
      <c r="D174" s="11">
        <f t="shared" si="145"/>
        <v>47.713083005611892</v>
      </c>
      <c r="E174" s="11">
        <f t="shared" si="145"/>
        <v>61.798062374764939</v>
      </c>
      <c r="F174" s="11">
        <f t="shared" si="145"/>
        <v>70.946426583313226</v>
      </c>
      <c r="H174" s="39">
        <f t="shared" si="146"/>
        <v>2.8291007509229749</v>
      </c>
      <c r="I174" s="39">
        <f t="shared" si="147"/>
        <v>2.680081115174815</v>
      </c>
      <c r="L174" s="10" t="str">
        <f t="shared" ref="L174:Q174" si="192">L29</f>
        <v>72 Customer service occupations</v>
      </c>
      <c r="M174" s="11">
        <f t="shared" si="192"/>
        <v>16.181729224749038</v>
      </c>
      <c r="N174" s="11">
        <f t="shared" si="192"/>
        <v>14.832523154990376</v>
      </c>
      <c r="O174" s="11">
        <f t="shared" si="192"/>
        <v>17.595983402738995</v>
      </c>
      <c r="P174" s="11">
        <f t="shared" si="192"/>
        <v>24.315733782523758</v>
      </c>
      <c r="Q174" s="11">
        <f t="shared" si="192"/>
        <v>28.999600372833562</v>
      </c>
      <c r="S174" s="39">
        <f t="shared" si="149"/>
        <v>1.6898771796864498</v>
      </c>
      <c r="T174" s="39">
        <f t="shared" si="150"/>
        <v>3.3868328353776178</v>
      </c>
      <c r="W174" s="10" t="str">
        <f t="shared" ref="W174:AB174" si="193">W29</f>
        <v>72 Customer service occupations</v>
      </c>
      <c r="X174" s="11">
        <f t="shared" si="193"/>
        <v>25.319149292211911</v>
      </c>
      <c r="Y174" s="11">
        <f t="shared" si="193"/>
        <v>30.797781350882484</v>
      </c>
      <c r="Z174" s="11">
        <f t="shared" si="193"/>
        <v>30.117099602872955</v>
      </c>
      <c r="AA174" s="11">
        <f t="shared" si="193"/>
        <v>37.482328592241146</v>
      </c>
      <c r="AB174" s="11">
        <f t="shared" si="193"/>
        <v>41.946826210479621</v>
      </c>
      <c r="AD174" s="39">
        <f t="shared" si="152"/>
        <v>3.5315717249290834</v>
      </c>
      <c r="AE174" s="39">
        <f t="shared" si="153"/>
        <v>2.2333041834580625</v>
      </c>
    </row>
    <row r="175" spans="1:31" x14ac:dyDescent="0.2">
      <c r="A175" s="10" t="str">
        <f t="shared" si="141"/>
        <v>81 Process, plant and machine operatives</v>
      </c>
      <c r="B175" s="11">
        <f t="shared" si="141"/>
        <v>73.880158585249745</v>
      </c>
      <c r="C175" s="11">
        <f t="shared" si="145"/>
        <v>71.020391017063901</v>
      </c>
      <c r="D175" s="11">
        <f t="shared" si="145"/>
        <v>62.582118755619781</v>
      </c>
      <c r="E175" s="11">
        <f t="shared" si="145"/>
        <v>75.783037685328537</v>
      </c>
      <c r="F175" s="11">
        <f t="shared" si="145"/>
        <v>75.3654050728952</v>
      </c>
      <c r="H175" s="39">
        <f t="shared" si="146"/>
        <v>-3.2648100731085594</v>
      </c>
      <c r="I175" s="39">
        <f t="shared" si="147"/>
        <v>1.2468340069772266</v>
      </c>
      <c r="L175" s="10" t="str">
        <f t="shared" ref="L175:Q175" si="194">L30</f>
        <v>81 Process, plant and machine operatives</v>
      </c>
      <c r="M175" s="11">
        <f t="shared" si="194"/>
        <v>58.80669396073732</v>
      </c>
      <c r="N175" s="11">
        <f t="shared" si="194"/>
        <v>55.054179100475274</v>
      </c>
      <c r="O175" s="11">
        <f t="shared" si="194"/>
        <v>48.598545951671234</v>
      </c>
      <c r="P175" s="11">
        <f t="shared" si="194"/>
        <v>57.548735841505412</v>
      </c>
      <c r="Q175" s="11">
        <f t="shared" si="194"/>
        <v>55.17016510188045</v>
      </c>
      <c r="S175" s="39">
        <f t="shared" si="149"/>
        <v>-3.7414529174535027</v>
      </c>
      <c r="T175" s="39">
        <f t="shared" si="150"/>
        <v>0.84910937695172883</v>
      </c>
      <c r="W175" s="10" t="str">
        <f t="shared" ref="W175:AB175" si="195">W30</f>
        <v>81 Process, plant and machine operatives</v>
      </c>
      <c r="X175" s="11">
        <f t="shared" si="195"/>
        <v>15.073464624512367</v>
      </c>
      <c r="Y175" s="11">
        <f t="shared" si="195"/>
        <v>15.966211916588545</v>
      </c>
      <c r="Z175" s="11">
        <f t="shared" si="195"/>
        <v>13.983572803948594</v>
      </c>
      <c r="AA175" s="11">
        <f t="shared" si="195"/>
        <v>18.234301843823122</v>
      </c>
      <c r="AB175" s="11">
        <f t="shared" si="195"/>
        <v>20.195239971014729</v>
      </c>
      <c r="AD175" s="39">
        <f t="shared" si="152"/>
        <v>-1.4898427419324012</v>
      </c>
      <c r="AE175" s="39">
        <f t="shared" si="153"/>
        <v>2.480694052274024</v>
      </c>
    </row>
    <row r="176" spans="1:31" x14ac:dyDescent="0.2">
      <c r="A176" s="10" t="str">
        <f t="shared" si="141"/>
        <v>82 Transport and mobile machine drivers and operatives</v>
      </c>
      <c r="B176" s="11">
        <f t="shared" si="141"/>
        <v>85.619333849694627</v>
      </c>
      <c r="C176" s="11">
        <f t="shared" si="145"/>
        <v>91.331008905970776</v>
      </c>
      <c r="D176" s="11">
        <f t="shared" si="145"/>
        <v>82.153643253397007</v>
      </c>
      <c r="E176" s="11">
        <f t="shared" si="145"/>
        <v>87.85768973976711</v>
      </c>
      <c r="F176" s="11">
        <f t="shared" si="145"/>
        <v>90.140369989187306</v>
      </c>
      <c r="H176" s="39">
        <f t="shared" si="146"/>
        <v>-0.82299327557668889</v>
      </c>
      <c r="I176" s="39">
        <f t="shared" si="147"/>
        <v>0.62042960431503147</v>
      </c>
      <c r="L176" s="10" t="str">
        <f t="shared" ref="L176:Q176" si="196">L31</f>
        <v>82 Transport and mobile machine drivers and operatives</v>
      </c>
      <c r="M176" s="11">
        <f t="shared" si="196"/>
        <v>79.0711755821943</v>
      </c>
      <c r="N176" s="11">
        <f t="shared" si="196"/>
        <v>83.717497532159996</v>
      </c>
      <c r="O176" s="11">
        <f t="shared" si="196"/>
        <v>75.264032842464331</v>
      </c>
      <c r="P176" s="11">
        <f t="shared" si="196"/>
        <v>78.283092591017208</v>
      </c>
      <c r="Q176" s="11">
        <f t="shared" si="196"/>
        <v>79.085334594111487</v>
      </c>
      <c r="S176" s="39">
        <f t="shared" si="149"/>
        <v>-0.98206660727084838</v>
      </c>
      <c r="T176" s="39">
        <f t="shared" si="150"/>
        <v>0.33071288585566627</v>
      </c>
      <c r="W176" s="10" t="str">
        <f t="shared" ref="W176:AB176" si="197">W31</f>
        <v>82 Transport and mobile machine drivers and operatives</v>
      </c>
      <c r="X176" s="11">
        <f t="shared" si="197"/>
        <v>6.5481582675005141</v>
      </c>
      <c r="Y176" s="11">
        <f t="shared" si="197"/>
        <v>7.6135113738109705</v>
      </c>
      <c r="Z176" s="11">
        <f t="shared" si="197"/>
        <v>6.8896104109328249</v>
      </c>
      <c r="AA176" s="11">
        <f t="shared" si="197"/>
        <v>9.5745971487496107</v>
      </c>
      <c r="AB176" s="11">
        <f t="shared" si="197"/>
        <v>11.055035395075796</v>
      </c>
      <c r="AD176" s="39">
        <f t="shared" si="152"/>
        <v>1.0217992723718483</v>
      </c>
      <c r="AE176" s="39">
        <f t="shared" si="153"/>
        <v>3.202693354552455</v>
      </c>
    </row>
    <row r="177" spans="1:31" x14ac:dyDescent="0.2">
      <c r="A177" s="10" t="str">
        <f t="shared" si="141"/>
        <v>91 Elementary trades and related occupations</v>
      </c>
      <c r="B177" s="11">
        <f t="shared" si="141"/>
        <v>51.619419586461767</v>
      </c>
      <c r="C177" s="11">
        <f t="shared" si="145"/>
        <v>45.787577245667286</v>
      </c>
      <c r="D177" s="11">
        <f t="shared" si="145"/>
        <v>41.169715797010497</v>
      </c>
      <c r="E177" s="11">
        <f t="shared" si="145"/>
        <v>36.484962734682078</v>
      </c>
      <c r="F177" s="11">
        <f t="shared" si="145"/>
        <v>36.262160530619973</v>
      </c>
      <c r="H177" s="39">
        <f>IF(D$151-B$151 &lt;&gt; 0,(EXP(LN(D177/B177)/(D$151-B$151))-1)*100,0)</f>
        <v>-4.4230977639318603</v>
      </c>
      <c r="I177" s="39">
        <f t="shared" si="147"/>
        <v>-0.84261754039369752</v>
      </c>
      <c r="L177" s="10" t="str">
        <f t="shared" ref="L177:Q178" si="198">L32</f>
        <v>91 Elementary trades and related occupations</v>
      </c>
      <c r="M177" s="11">
        <f t="shared" si="198"/>
        <v>38.370613606560667</v>
      </c>
      <c r="N177" s="11">
        <f t="shared" si="198"/>
        <v>34.026819859199463</v>
      </c>
      <c r="O177" s="11">
        <f t="shared" si="198"/>
        <v>31.028087080946303</v>
      </c>
      <c r="P177" s="11">
        <f t="shared" si="198"/>
        <v>27.054417370969016</v>
      </c>
      <c r="Q177" s="11">
        <f t="shared" si="198"/>
        <v>26.858314047210502</v>
      </c>
      <c r="S177" s="39">
        <f t="shared" si="149"/>
        <v>-4.1590187602310031</v>
      </c>
      <c r="T177" s="39">
        <f t="shared" si="150"/>
        <v>-0.95750252576249917</v>
      </c>
      <c r="W177" s="10" t="str">
        <f t="shared" ref="W177:AB178" si="199">W32</f>
        <v>91 Elementary trades and related occupations</v>
      </c>
      <c r="X177" s="11">
        <f t="shared" si="199"/>
        <v>13.248805979900995</v>
      </c>
      <c r="Y177" s="11">
        <f t="shared" si="199"/>
        <v>11.760757386467933</v>
      </c>
      <c r="Z177" s="11">
        <f t="shared" si="199"/>
        <v>10.141628716064233</v>
      </c>
      <c r="AA177" s="11">
        <f t="shared" si="199"/>
        <v>9.4305453637131276</v>
      </c>
      <c r="AB177" s="11">
        <f t="shared" si="199"/>
        <v>9.4038464834095681</v>
      </c>
      <c r="AD177" s="39">
        <f t="shared" si="152"/>
        <v>-5.2048335744563134</v>
      </c>
      <c r="AE177" s="39">
        <f t="shared" si="153"/>
        <v>-0.50226641741453193</v>
      </c>
    </row>
    <row r="178" spans="1:31" x14ac:dyDescent="0.2">
      <c r="A178" s="10" t="str">
        <f t="shared" si="141"/>
        <v>92 Elementary administration and service occupations</v>
      </c>
      <c r="B178" s="11">
        <f t="shared" si="141"/>
        <v>267.90820636892653</v>
      </c>
      <c r="C178" s="11">
        <f t="shared" si="145"/>
        <v>272.03490961541218</v>
      </c>
      <c r="D178" s="11">
        <f t="shared" si="145"/>
        <v>255.12733961802351</v>
      </c>
      <c r="E178" s="11">
        <f t="shared" si="145"/>
        <v>270.40729192943337</v>
      </c>
      <c r="F178" s="11">
        <f t="shared" si="145"/>
        <v>263.59541453038582</v>
      </c>
      <c r="H178" s="39">
        <f>IF(D$151-B$151 &lt;&gt; 0,(EXP(LN(D178/B178)/(D$151-B$151))-1)*100,0)</f>
        <v>-0.97286904473028457</v>
      </c>
      <c r="I178" s="39">
        <f t="shared" ref="I178" si="200">IF(F$151-D$151 &lt;&gt; 0,(EXP(LN(F178/D178)/(F$151-D$151))-1)*100,0)</f>
        <v>0.2179212062018987</v>
      </c>
      <c r="L178" s="10" t="str">
        <f t="shared" si="198"/>
        <v>92 Elementary administration and service occupations</v>
      </c>
      <c r="M178" s="11">
        <f t="shared" si="198"/>
        <v>135.0071387485128</v>
      </c>
      <c r="N178" s="11">
        <f t="shared" si="198"/>
        <v>123.97226148485372</v>
      </c>
      <c r="O178" s="11">
        <f t="shared" si="198"/>
        <v>124.72453323532648</v>
      </c>
      <c r="P178" s="11">
        <f t="shared" si="198"/>
        <v>136.22480332409535</v>
      </c>
      <c r="Q178" s="11">
        <f t="shared" si="198"/>
        <v>129.73042974307211</v>
      </c>
      <c r="S178" s="39">
        <f t="shared" ref="S178" si="201">IF(O$151-M$151 &lt;&gt; 0,(EXP(LN(O178/M178)/(O$151-M$151))-1)*100,0)</f>
        <v>-1.571916089311487</v>
      </c>
      <c r="T178" s="39">
        <f t="shared" ref="T178" si="202">IF(Q$151-O$151 &lt;&gt; 0,(EXP(LN(Q178/O178)/(Q$151-O$151))-1)*100,0)</f>
        <v>0.26268513962004469</v>
      </c>
      <c r="W178" s="10" t="str">
        <f t="shared" si="199"/>
        <v>92 Elementary administration and service occupations</v>
      </c>
      <c r="X178" s="11">
        <f t="shared" si="199"/>
        <v>132.9010676204135</v>
      </c>
      <c r="Y178" s="11">
        <f t="shared" si="199"/>
        <v>148.06264813055753</v>
      </c>
      <c r="Z178" s="11">
        <f t="shared" si="199"/>
        <v>130.40280638269709</v>
      </c>
      <c r="AA178" s="11">
        <f t="shared" si="199"/>
        <v>134.18248860533848</v>
      </c>
      <c r="AB178" s="11">
        <f t="shared" si="199"/>
        <v>133.86498478731414</v>
      </c>
      <c r="AD178" s="39">
        <f t="shared" ref="AD178" si="203">IF(Z$151-X$151 &lt;&gt; 0,(EXP(LN(Z178/X178)/(Z$151-X$151))-1)*100,0)</f>
        <v>-0.37881723724844107</v>
      </c>
      <c r="AE178" s="39">
        <f t="shared" ref="AE178" si="204">IF(AB$151-Z$151 &lt;&gt; 0,(EXP(LN(AB178/Z178)/(AB$151-Z$151))-1)*100,0)</f>
        <v>0.17484297366197055</v>
      </c>
    </row>
    <row r="179" spans="1:31" x14ac:dyDescent="0.2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2">
      <c r="A180" s="231" t="str">
        <f t="shared" ref="A180:F180" si="205">A35</f>
        <v>All occupations</v>
      </c>
      <c r="B180" s="33">
        <f>B35</f>
        <v>2817.8519999971127</v>
      </c>
      <c r="C180" s="33">
        <f t="shared" si="205"/>
        <v>2962.1069999996525</v>
      </c>
      <c r="D180" s="33">
        <f t="shared" si="205"/>
        <v>2929.5869999964648</v>
      </c>
      <c r="E180" s="33">
        <f t="shared" si="205"/>
        <v>3058.6549999943322</v>
      </c>
      <c r="F180" s="33">
        <f t="shared" si="205"/>
        <v>3240.0929999972909</v>
      </c>
      <c r="H180" s="42">
        <f t="shared" si="146"/>
        <v>0.78076348315760935</v>
      </c>
      <c r="I180" s="42">
        <f t="shared" si="147"/>
        <v>0.6738641534223655</v>
      </c>
      <c r="L180" s="231" t="str">
        <f t="shared" ref="L180:Q180" si="206">L35</f>
        <v>All occupations</v>
      </c>
      <c r="M180" s="33">
        <f t="shared" si="206"/>
        <v>1479.1279999993342</v>
      </c>
      <c r="N180" s="33">
        <f t="shared" si="206"/>
        <v>1519.4590000013991</v>
      </c>
      <c r="O180" s="33">
        <f t="shared" si="206"/>
        <v>1491.5389999983781</v>
      </c>
      <c r="P180" s="33">
        <f t="shared" si="206"/>
        <v>1547.6319999959112</v>
      </c>
      <c r="Q180" s="33">
        <f t="shared" si="206"/>
        <v>1623.9979999964846</v>
      </c>
      <c r="S180" s="42">
        <f t="shared" ref="S180" si="207">IF(O$151-M$151 &lt;&gt; 0,(EXP(LN(O180/M180)/(O$151-M$151))-1)*100,0)</f>
        <v>0.16725467199130151</v>
      </c>
      <c r="T180" s="42">
        <f t="shared" ref="T180" si="208">IF(Q$151-O$151 &lt;&gt; 0,(EXP(LN(Q180/O180)/(Q$151-O$151))-1)*100,0)</f>
        <v>0.56882863707150566</v>
      </c>
      <c r="W180" s="231" t="str">
        <f t="shared" ref="W180:AB180" si="209">W35</f>
        <v>All occupations</v>
      </c>
      <c r="X180" s="33">
        <f t="shared" si="209"/>
        <v>1338.7239999977794</v>
      </c>
      <c r="Y180" s="33">
        <f t="shared" si="209"/>
        <v>1442.6479999982541</v>
      </c>
      <c r="Z180" s="33">
        <f t="shared" si="209"/>
        <v>1438.047999998086</v>
      </c>
      <c r="AA180" s="33">
        <f t="shared" si="209"/>
        <v>1511.0229999984231</v>
      </c>
      <c r="AB180" s="33">
        <f t="shared" si="209"/>
        <v>1616.0950000008086</v>
      </c>
      <c r="AD180" s="42">
        <f t="shared" ref="AD180" si="210">IF(Z$151-X$151 &lt;&gt; 0,(EXP(LN(Z180/X180)/(Z$151-X$151))-1)*100,0)</f>
        <v>1.441687842603856</v>
      </c>
      <c r="AE180" s="42">
        <f t="shared" ref="AE180" si="211">IF(AB$151-Z$151 &lt;&gt; 0,(EXP(LN(AB180/Z180)/(AB$151-Z$151))-1)*100,0)</f>
        <v>0.78120969043034005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South West</v>
      </c>
    </row>
    <row r="2" spans="1:12" ht="12.75" customHeight="1" x14ac:dyDescent="0.2">
      <c r="A2" s="181" t="s">
        <v>538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'Occ T1'!A8</f>
        <v>Managers, directors and senior officials</v>
      </c>
      <c r="B7" s="30">
        <f>'Occ T1'!B8</f>
        <v>281.71796036085652</v>
      </c>
      <c r="C7" s="30">
        <f>'Occ T1'!C8</f>
        <v>328.11102486796204</v>
      </c>
      <c r="D7" s="30">
        <f>'Occ T1'!D8</f>
        <v>336.67165807287438</v>
      </c>
      <c r="E7" s="30">
        <f>'Occ T1'!E8</f>
        <v>351.00137125683085</v>
      </c>
      <c r="F7" s="30">
        <f>'Occ T1'!F8</f>
        <v>394.1491291119242</v>
      </c>
      <c r="H7" s="30">
        <f>C7-B7</f>
        <v>46.393064507105521</v>
      </c>
      <c r="I7" s="30">
        <f>D7-C7</f>
        <v>8.5606332049123353</v>
      </c>
      <c r="J7" s="30">
        <f>E7-D7</f>
        <v>14.329713183956471</v>
      </c>
      <c r="K7" s="30">
        <f>F7-E7</f>
        <v>43.147757855093346</v>
      </c>
      <c r="L7" s="30">
        <f>F7-D7</f>
        <v>57.477471039049817</v>
      </c>
    </row>
    <row r="8" spans="1:12" s="29" customFormat="1" x14ac:dyDescent="0.2">
      <c r="A8" s="10" t="str">
        <f>'Occ T2'!A8</f>
        <v>11 Corporate managers and directors</v>
      </c>
      <c r="B8" s="31">
        <f>'Occ T2'!B8</f>
        <v>178.28774463132186</v>
      </c>
      <c r="C8" s="31">
        <f>'Occ T2'!C8</f>
        <v>213.59764295854791</v>
      </c>
      <c r="D8" s="31">
        <f>'Occ T2'!D8</f>
        <v>220.42416840586966</v>
      </c>
      <c r="E8" s="31">
        <f>'Occ T2'!E8</f>
        <v>206.88200941059679</v>
      </c>
      <c r="F8" s="31">
        <f>'Occ T2'!F8</f>
        <v>228.60191583847305</v>
      </c>
      <c r="H8" s="30">
        <f t="shared" ref="H8:H9" si="0">C8-B8</f>
        <v>35.309898327226051</v>
      </c>
      <c r="I8" s="30">
        <f t="shared" ref="I8:I9" si="1">D8-C8</f>
        <v>6.8265254473217567</v>
      </c>
      <c r="J8" s="30">
        <f t="shared" ref="J8:J9" si="2">E8-D8</f>
        <v>-13.542158995272871</v>
      </c>
      <c r="K8" s="30">
        <f t="shared" ref="K8:K9" si="3">F8-E8</f>
        <v>21.719906427876253</v>
      </c>
      <c r="L8" s="30">
        <f t="shared" ref="L8:L49" si="4">F8-D8</f>
        <v>8.1777474326033825</v>
      </c>
    </row>
    <row r="9" spans="1:12" s="29" customFormat="1" x14ac:dyDescent="0.2">
      <c r="A9" s="10" t="str">
        <f>'Occ T2'!A9</f>
        <v>12 Other managers and proprietors</v>
      </c>
      <c r="B9" s="31">
        <f>'Occ T2'!B9</f>
        <v>103.43021572953465</v>
      </c>
      <c r="C9" s="31">
        <f>'Occ T2'!C9</f>
        <v>114.51338190941415</v>
      </c>
      <c r="D9" s="31">
        <f>'Occ T2'!D9</f>
        <v>116.24748966700469</v>
      </c>
      <c r="E9" s="31">
        <f>'Occ T2'!E9</f>
        <v>144.11936184623406</v>
      </c>
      <c r="F9" s="31">
        <f>'Occ T2'!F9</f>
        <v>165.54721327345115</v>
      </c>
      <c r="H9" s="30">
        <f t="shared" si="0"/>
        <v>11.083166179879498</v>
      </c>
      <c r="I9" s="30">
        <f t="shared" si="1"/>
        <v>1.7341077575905359</v>
      </c>
      <c r="J9" s="30">
        <f t="shared" si="2"/>
        <v>27.871872179229371</v>
      </c>
      <c r="K9" s="30">
        <f t="shared" si="3"/>
        <v>21.427851427217092</v>
      </c>
      <c r="L9" s="30">
        <f t="shared" si="4"/>
        <v>49.299723606446463</v>
      </c>
    </row>
    <row r="10" spans="1:12" x14ac:dyDescent="0.2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x14ac:dyDescent="0.2">
      <c r="A11" s="29" t="str">
        <f>'Occ T1'!A9</f>
        <v>Professional occupations</v>
      </c>
      <c r="B11" s="30">
        <f>'Occ T1'!B9</f>
        <v>555.82323062112903</v>
      </c>
      <c r="C11" s="30">
        <f>'Occ T1'!C9</f>
        <v>632.66922070562805</v>
      </c>
      <c r="D11" s="30">
        <f>'Occ T1'!D9</f>
        <v>653.26421753907175</v>
      </c>
      <c r="E11" s="30">
        <f>'Occ T1'!E9</f>
        <v>715.63579413435548</v>
      </c>
      <c r="F11" s="30">
        <f>'Occ T1'!F9</f>
        <v>810.33534990681005</v>
      </c>
      <c r="H11" s="30">
        <f>C11-B11</f>
        <v>76.845990084499022</v>
      </c>
      <c r="I11" s="30">
        <f t="shared" ref="I11:I49" si="5">D11-C11</f>
        <v>20.594996833443702</v>
      </c>
      <c r="J11" s="30">
        <f>E11-D11</f>
        <v>62.371576595283727</v>
      </c>
      <c r="K11" s="30">
        <f>F11-E11</f>
        <v>94.699555772454573</v>
      </c>
      <c r="L11" s="30">
        <f t="shared" si="4"/>
        <v>157.0711323677383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147.35087953346306</v>
      </c>
      <c r="C12" s="10">
        <f>'Occ T2'!C10</f>
        <v>169.34812313639929</v>
      </c>
      <c r="D12" s="10">
        <f>'Occ T2'!D10</f>
        <v>174.78975240588667</v>
      </c>
      <c r="E12" s="10">
        <f>'Occ T2'!E10</f>
        <v>186.54260993602119</v>
      </c>
      <c r="F12" s="10">
        <f>'Occ T2'!F10</f>
        <v>209.54199786733972</v>
      </c>
      <c r="H12" s="11">
        <f t="shared" ref="H12:K14" si="6">C12-B12</f>
        <v>21.997243602936237</v>
      </c>
      <c r="I12" s="30">
        <f t="shared" si="5"/>
        <v>5.4416292694873789</v>
      </c>
      <c r="J12" s="11">
        <f t="shared" si="6"/>
        <v>11.75285753013452</v>
      </c>
      <c r="K12" s="11">
        <f t="shared" si="6"/>
        <v>22.999387931318523</v>
      </c>
      <c r="L12" s="30">
        <f t="shared" si="4"/>
        <v>34.752245461453043</v>
      </c>
    </row>
    <row r="13" spans="1:12" x14ac:dyDescent="0.2">
      <c r="A13" s="10" t="str">
        <f>'Occ T2'!A11</f>
        <v>22 Health professionals</v>
      </c>
      <c r="B13" s="10">
        <f>'Occ T2'!B11</f>
        <v>123.14430616433667</v>
      </c>
      <c r="C13" s="10">
        <f>'Occ T2'!C11</f>
        <v>137.3170036592112</v>
      </c>
      <c r="D13" s="10">
        <f>'Occ T2'!D11</f>
        <v>136.06688372711437</v>
      </c>
      <c r="E13" s="10">
        <f>'Occ T2'!E11</f>
        <v>152.01556031283346</v>
      </c>
      <c r="F13" s="10">
        <f>'Occ T2'!F11</f>
        <v>175.96215290882705</v>
      </c>
      <c r="H13" s="11">
        <f t="shared" si="6"/>
        <v>14.172697494874527</v>
      </c>
      <c r="I13" s="30">
        <f t="shared" si="5"/>
        <v>-1.2501199320968226</v>
      </c>
      <c r="J13" s="11">
        <f t="shared" si="6"/>
        <v>15.948676585719085</v>
      </c>
      <c r="K13" s="11">
        <f t="shared" si="6"/>
        <v>23.946592595993593</v>
      </c>
      <c r="L13" s="30">
        <f t="shared" si="4"/>
        <v>39.895269181712678</v>
      </c>
    </row>
    <row r="14" spans="1:12" x14ac:dyDescent="0.2">
      <c r="A14" s="10" t="str">
        <f>'Occ T2'!A12</f>
        <v>23 Teaching and other educational professionals</v>
      </c>
      <c r="B14" s="10">
        <f>'Occ T2'!B12</f>
        <v>131.96078482642613</v>
      </c>
      <c r="C14" s="10">
        <f>'Occ T2'!C12</f>
        <v>146.09030944326346</v>
      </c>
      <c r="D14" s="10">
        <f>'Occ T2'!D12</f>
        <v>147.16638535201332</v>
      </c>
      <c r="E14" s="10">
        <f>'Occ T2'!E12</f>
        <v>155.67652326982011</v>
      </c>
      <c r="F14" s="10">
        <f>'Occ T2'!F12</f>
        <v>172.55168775110647</v>
      </c>
      <c r="H14" s="11">
        <f t="shared" si="6"/>
        <v>14.12952461683733</v>
      </c>
      <c r="I14" s="30">
        <f t="shared" si="5"/>
        <v>1.076075908749857</v>
      </c>
      <c r="J14" s="11">
        <f t="shared" si="6"/>
        <v>8.5101379178067873</v>
      </c>
      <c r="K14" s="11">
        <f t="shared" si="6"/>
        <v>16.875164481286362</v>
      </c>
      <c r="L14" s="30">
        <f t="shared" si="4"/>
        <v>25.385302399093149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153.3672600969031</v>
      </c>
      <c r="C15" s="10">
        <f>'Occ T2'!C13</f>
        <v>179.91378446675418</v>
      </c>
      <c r="D15" s="10">
        <f>'Occ T2'!D13</f>
        <v>195.24119605405735</v>
      </c>
      <c r="E15" s="10">
        <f>'Occ T2'!E13</f>
        <v>221.40110061568069</v>
      </c>
      <c r="F15" s="10">
        <f>'Occ T2'!F13</f>
        <v>252.27951137953681</v>
      </c>
      <c r="H15" s="11">
        <f t="shared" ref="H15" si="7">C15-B15</f>
        <v>26.546524369851085</v>
      </c>
      <c r="I15" s="30">
        <f t="shared" si="5"/>
        <v>15.327411587303175</v>
      </c>
      <c r="J15" s="11">
        <f t="shared" ref="J15" si="8">E15-D15</f>
        <v>26.159904561623335</v>
      </c>
      <c r="K15" s="11">
        <f t="shared" ref="K15" si="9">F15-E15</f>
        <v>30.878410763856124</v>
      </c>
      <c r="L15" s="30">
        <f t="shared" si="4"/>
        <v>57.038315325479459</v>
      </c>
    </row>
    <row r="16" spans="1:12" x14ac:dyDescent="0.2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x14ac:dyDescent="0.2">
      <c r="A17" s="29" t="str">
        <f>'Occ T1'!A10</f>
        <v>Associate professional occupations</v>
      </c>
      <c r="B17" s="30">
        <f>'Occ T1'!B10</f>
        <v>332.20088542727456</v>
      </c>
      <c r="C17" s="30">
        <f>'Occ T1'!C10</f>
        <v>361.74689249960034</v>
      </c>
      <c r="D17" s="30">
        <f>'Occ T1'!D10</f>
        <v>375.74934036250482</v>
      </c>
      <c r="E17" s="30">
        <f>'Occ T1'!E10</f>
        <v>375.92965010188578</v>
      </c>
      <c r="F17" s="30">
        <f>'Occ T1'!F10</f>
        <v>411.60929315144847</v>
      </c>
      <c r="H17" s="30">
        <f t="shared" ref="H17:K21" si="10">C17-B17</f>
        <v>29.546007072325779</v>
      </c>
      <c r="I17" s="30">
        <f t="shared" si="5"/>
        <v>14.002447862904489</v>
      </c>
      <c r="J17" s="30">
        <f t="shared" si="10"/>
        <v>0.1803097393809594</v>
      </c>
      <c r="K17" s="30">
        <f t="shared" si="10"/>
        <v>35.679643049562685</v>
      </c>
      <c r="L17" s="30">
        <f t="shared" si="4"/>
        <v>35.859952788943644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43.995185541434438</v>
      </c>
      <c r="C18" s="10">
        <f>'Occ T2'!C14</f>
        <v>52.324421892950539</v>
      </c>
      <c r="D18" s="10">
        <f>'Occ T2'!D14</f>
        <v>57.22704281714396</v>
      </c>
      <c r="E18" s="10">
        <f>'Occ T2'!E14</f>
        <v>50.887180174802381</v>
      </c>
      <c r="F18" s="10">
        <f>'Occ T2'!F14</f>
        <v>54.695032844743452</v>
      </c>
      <c r="H18" s="11">
        <f t="shared" si="10"/>
        <v>8.3292363515161014</v>
      </c>
      <c r="I18" s="30">
        <f t="shared" si="5"/>
        <v>4.9026209241934211</v>
      </c>
      <c r="J18" s="11">
        <f t="shared" si="10"/>
        <v>-6.3398626423415791</v>
      </c>
      <c r="K18" s="11">
        <f t="shared" si="10"/>
        <v>3.8078526699410702</v>
      </c>
      <c r="L18" s="30">
        <f t="shared" si="4"/>
        <v>-2.532009972400509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54.70334863148971</v>
      </c>
      <c r="C19" s="10">
        <f>'Occ T2'!C15</f>
        <v>58.442565330285852</v>
      </c>
      <c r="D19" s="10">
        <f>'Occ T2'!D15</f>
        <v>58.891200721634888</v>
      </c>
      <c r="E19" s="10">
        <f>'Occ T2'!E15</f>
        <v>61.545763256510249</v>
      </c>
      <c r="F19" s="10">
        <f>'Occ T2'!F15</f>
        <v>70.358001501575828</v>
      </c>
      <c r="H19" s="11">
        <f t="shared" si="10"/>
        <v>3.7392166987961417</v>
      </c>
      <c r="I19" s="30">
        <f t="shared" si="5"/>
        <v>0.44863539134903618</v>
      </c>
      <c r="J19" s="11">
        <f t="shared" si="10"/>
        <v>2.6545625348753603</v>
      </c>
      <c r="K19" s="11">
        <f t="shared" si="10"/>
        <v>8.8122382450655792</v>
      </c>
      <c r="L19" s="30">
        <f t="shared" si="4"/>
        <v>11.466800779940939</v>
      </c>
    </row>
    <row r="20" spans="1:12" x14ac:dyDescent="0.2">
      <c r="A20" s="10" t="str">
        <f>'Occ T2'!A16</f>
        <v>33 Protective service occupations</v>
      </c>
      <c r="B20" s="10">
        <f>'Occ T2'!B16</f>
        <v>18.918456756356868</v>
      </c>
      <c r="C20" s="10">
        <f>'Occ T2'!C16</f>
        <v>19.65663641320371</v>
      </c>
      <c r="D20" s="10">
        <f>'Occ T2'!D16</f>
        <v>21.197229754485431</v>
      </c>
      <c r="E20" s="10">
        <f>'Occ T2'!E16</f>
        <v>25.968342007031605</v>
      </c>
      <c r="F20" s="10">
        <f>'Occ T2'!F16</f>
        <v>29.961326346665203</v>
      </c>
      <c r="H20" s="11">
        <f t="shared" si="10"/>
        <v>0.73817965684684239</v>
      </c>
      <c r="I20" s="30">
        <f t="shared" si="5"/>
        <v>1.5405933412817205</v>
      </c>
      <c r="J20" s="11">
        <f t="shared" si="10"/>
        <v>4.7711122525461747</v>
      </c>
      <c r="K20" s="11">
        <f t="shared" si="10"/>
        <v>3.9929843396335976</v>
      </c>
      <c r="L20" s="30">
        <f t="shared" si="4"/>
        <v>8.7640965921797722</v>
      </c>
    </row>
    <row r="21" spans="1:12" x14ac:dyDescent="0.2">
      <c r="A21" s="10" t="str">
        <f>'Occ T2'!A17</f>
        <v>34 Culture, media and sports occupations</v>
      </c>
      <c r="B21" s="10">
        <f>'Occ T2'!B17</f>
        <v>57.633479740380658</v>
      </c>
      <c r="C21" s="10">
        <f>'Occ T2'!C17</f>
        <v>62.64236339604215</v>
      </c>
      <c r="D21" s="10">
        <f>'Occ T2'!D17</f>
        <v>62.187444415764752</v>
      </c>
      <c r="E21" s="10">
        <f>'Occ T2'!E17</f>
        <v>65.396091153214783</v>
      </c>
      <c r="F21" s="10">
        <f>'Occ T2'!F17</f>
        <v>75.861044003421796</v>
      </c>
      <c r="H21" s="11">
        <f t="shared" si="10"/>
        <v>5.0088836556614922</v>
      </c>
      <c r="I21" s="30">
        <f t="shared" si="5"/>
        <v>-0.45491898027739808</v>
      </c>
      <c r="J21" s="11">
        <f t="shared" si="10"/>
        <v>3.2086467374500316</v>
      </c>
      <c r="K21" s="11">
        <f t="shared" si="10"/>
        <v>10.464952850207013</v>
      </c>
      <c r="L21" s="30">
        <f t="shared" si="4"/>
        <v>13.673599587657044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156.95041475761286</v>
      </c>
      <c r="C22" s="10">
        <f>'Occ T2'!C18</f>
        <v>168.68090546711812</v>
      </c>
      <c r="D22" s="10">
        <f>'Occ T2'!D18</f>
        <v>176.2464226534758</v>
      </c>
      <c r="E22" s="10">
        <f>'Occ T2'!E18</f>
        <v>172.1322735103268</v>
      </c>
      <c r="F22" s="10">
        <f>'Occ T2'!F18</f>
        <v>180.73388845504215</v>
      </c>
      <c r="H22" s="11">
        <f t="shared" ref="H22" si="11">C22-B22</f>
        <v>11.730490709505261</v>
      </c>
      <c r="I22" s="30">
        <f t="shared" si="5"/>
        <v>7.5655171863576811</v>
      </c>
      <c r="J22" s="11">
        <f t="shared" ref="J22" si="12">E22-D22</f>
        <v>-4.1141491431490067</v>
      </c>
      <c r="K22" s="11">
        <f t="shared" ref="K22" si="13">F22-E22</f>
        <v>8.6016149447153509</v>
      </c>
      <c r="L22" s="30">
        <f t="shared" si="4"/>
        <v>4.4874658015663442</v>
      </c>
    </row>
    <row r="23" spans="1:12" x14ac:dyDescent="0.2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x14ac:dyDescent="0.2">
      <c r="A24" s="29" t="str">
        <f>'Occ T1'!A11</f>
        <v>Administrative and secretarial occupations</v>
      </c>
      <c r="B24" s="30">
        <f>'Occ T1'!B11</f>
        <v>290.22815410380076</v>
      </c>
      <c r="C24" s="30">
        <f>'Occ T1'!C11</f>
        <v>283.27716834037346</v>
      </c>
      <c r="D24" s="30">
        <f>'Occ T1'!D11</f>
        <v>294.34089992140406</v>
      </c>
      <c r="E24" s="30">
        <f>'Occ T1'!E11</f>
        <v>279.53997272082472</v>
      </c>
      <c r="F24" s="30">
        <f>'Occ T1'!F11</f>
        <v>261.62983253168687</v>
      </c>
      <c r="H24" s="30">
        <f t="shared" ref="H24:K26" si="14">C24-B24</f>
        <v>-6.9509857634272976</v>
      </c>
      <c r="I24" s="30">
        <f t="shared" si="5"/>
        <v>11.063731581030595</v>
      </c>
      <c r="J24" s="30">
        <f t="shared" si="14"/>
        <v>-14.800927200579338</v>
      </c>
      <c r="K24" s="30">
        <f t="shared" si="14"/>
        <v>-17.910140189137849</v>
      </c>
      <c r="L24" s="30">
        <f t="shared" si="4"/>
        <v>-32.711067389717186</v>
      </c>
    </row>
    <row r="25" spans="1:12" x14ac:dyDescent="0.2">
      <c r="A25" t="str">
        <f>'Occ T2'!A19</f>
        <v>41 Administrative occupations</v>
      </c>
      <c r="B25" s="31">
        <f>'Occ T2'!B19</f>
        <v>230.65190493606553</v>
      </c>
      <c r="C25" s="31">
        <f>'Occ T2'!C19</f>
        <v>227.98629979690097</v>
      </c>
      <c r="D25" s="31">
        <f>'Occ T2'!D19</f>
        <v>240.29715716047514</v>
      </c>
      <c r="E25" s="31">
        <f>'Occ T2'!E19</f>
        <v>222.21315201120595</v>
      </c>
      <c r="F25" s="31">
        <f>'Occ T2'!F19</f>
        <v>210.08774549657949</v>
      </c>
      <c r="H25" s="11">
        <f t="shared" si="14"/>
        <v>-2.665605139164569</v>
      </c>
      <c r="I25" s="30">
        <f t="shared" si="5"/>
        <v>12.310857363574172</v>
      </c>
      <c r="J25" s="11">
        <f t="shared" si="14"/>
        <v>-18.084005149269188</v>
      </c>
      <c r="K25" s="11">
        <f t="shared" si="14"/>
        <v>-12.125406514626462</v>
      </c>
      <c r="L25" s="30">
        <f t="shared" si="4"/>
        <v>-30.209411663895651</v>
      </c>
    </row>
    <row r="26" spans="1:12" x14ac:dyDescent="0.2">
      <c r="A26" t="str">
        <f>'Occ T2'!A20</f>
        <v>42 Secretarial and related occupations</v>
      </c>
      <c r="B26" s="31">
        <f>'Occ T2'!B20</f>
        <v>59.576249167735241</v>
      </c>
      <c r="C26" s="31">
        <f>'Occ T2'!C20</f>
        <v>55.290868543472513</v>
      </c>
      <c r="D26" s="31">
        <f>'Occ T2'!D20</f>
        <v>54.043742760928943</v>
      </c>
      <c r="E26" s="31">
        <f>'Occ T2'!E20</f>
        <v>57.326820709618758</v>
      </c>
      <c r="F26" s="31">
        <f>'Occ T2'!F20</f>
        <v>51.542087035107386</v>
      </c>
      <c r="H26" s="11">
        <f t="shared" si="14"/>
        <v>-4.2853806242627286</v>
      </c>
      <c r="I26" s="30">
        <f t="shared" si="5"/>
        <v>-1.24712578254357</v>
      </c>
      <c r="J26" s="11">
        <f t="shared" si="14"/>
        <v>3.2830779486898152</v>
      </c>
      <c r="K26" s="11">
        <f t="shared" si="14"/>
        <v>-5.7847336745113722</v>
      </c>
      <c r="L26" s="30">
        <f t="shared" si="4"/>
        <v>-2.501655725821557</v>
      </c>
    </row>
    <row r="27" spans="1:12" x14ac:dyDescent="0.2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x14ac:dyDescent="0.2">
      <c r="A28" s="29" t="str">
        <f>'Occ T1'!A12</f>
        <v>Skilled trades occupations</v>
      </c>
      <c r="B28" s="30">
        <f>'Occ T1'!B12</f>
        <v>331.94362953220332</v>
      </c>
      <c r="C28" s="30">
        <f>'Occ T1'!C12</f>
        <v>330.38412255295623</v>
      </c>
      <c r="D28" s="30">
        <f>'Occ T1'!D12</f>
        <v>298.01318493355501</v>
      </c>
      <c r="E28" s="30">
        <f>'Occ T1'!E12</f>
        <v>307.18073602606728</v>
      </c>
      <c r="F28" s="30">
        <f>'Occ T1'!F12</f>
        <v>306.49084511758724</v>
      </c>
      <c r="H28" s="30">
        <f t="shared" ref="H28:K30" si="15">C28-B28</f>
        <v>-1.5595069792470895</v>
      </c>
      <c r="I28" s="30">
        <f t="shared" si="5"/>
        <v>-32.370937619401218</v>
      </c>
      <c r="J28" s="30">
        <f t="shared" si="15"/>
        <v>9.1675510925122694</v>
      </c>
      <c r="K28" s="30">
        <f t="shared" si="15"/>
        <v>-0.68989090848003798</v>
      </c>
      <c r="L28" s="30">
        <f t="shared" si="4"/>
        <v>8.4776601840322314</v>
      </c>
    </row>
    <row r="29" spans="1:12" x14ac:dyDescent="0.2">
      <c r="A29" s="10" t="str">
        <f>'Occ T2'!A21</f>
        <v>51 Skilled agricultural and related trades</v>
      </c>
      <c r="B29" s="10">
        <f>'Occ T2'!B21</f>
        <v>41.074614853304986</v>
      </c>
      <c r="C29" s="10">
        <f>'Occ T2'!C21</f>
        <v>39.9365454081248</v>
      </c>
      <c r="D29" s="10">
        <f>'Occ T2'!D21</f>
        <v>43.38976416600206</v>
      </c>
      <c r="E29" s="10">
        <f>'Occ T2'!E21</f>
        <v>43.637142204273772</v>
      </c>
      <c r="F29" s="10">
        <f>'Occ T2'!F21</f>
        <v>47.518729761157019</v>
      </c>
      <c r="H29" s="11">
        <f t="shared" si="15"/>
        <v>-1.1380694451801858</v>
      </c>
      <c r="I29" s="30">
        <f t="shared" si="5"/>
        <v>3.4532187578772593</v>
      </c>
      <c r="J29" s="11">
        <f t="shared" si="15"/>
        <v>0.24737803827171234</v>
      </c>
      <c r="K29" s="11">
        <f t="shared" si="15"/>
        <v>3.8815875568832467</v>
      </c>
      <c r="L29" s="30">
        <f t="shared" si="4"/>
        <v>4.1289655951549591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119.78442551978591</v>
      </c>
      <c r="C30" s="10">
        <f>'Occ T2'!C22</f>
        <v>117.51869225195854</v>
      </c>
      <c r="D30" s="10">
        <f>'Occ T2'!D22</f>
        <v>105.38577813988417</v>
      </c>
      <c r="E30" s="10">
        <f>'Occ T2'!E22</f>
        <v>104.59063274076206</v>
      </c>
      <c r="F30" s="10">
        <f>'Occ T2'!F22</f>
        <v>101.33738383927199</v>
      </c>
      <c r="H30" s="11">
        <f t="shared" si="15"/>
        <v>-2.2657332678273718</v>
      </c>
      <c r="I30" s="30">
        <f t="shared" si="5"/>
        <v>-12.132914112074374</v>
      </c>
      <c r="J30" s="11">
        <f t="shared" si="15"/>
        <v>-0.7951453991221058</v>
      </c>
      <c r="K30" s="11">
        <f t="shared" si="15"/>
        <v>-3.2532489014900676</v>
      </c>
      <c r="L30" s="30">
        <f t="shared" si="4"/>
        <v>-4.0483943006121734</v>
      </c>
    </row>
    <row r="31" spans="1:12" x14ac:dyDescent="0.2">
      <c r="A31" s="10" t="str">
        <f>'Occ T2'!A23</f>
        <v>53 Skilled construction and building trades</v>
      </c>
      <c r="B31" s="10">
        <f>'Occ T2'!B23</f>
        <v>111.7064966465005</v>
      </c>
      <c r="C31" s="10">
        <f>'Occ T2'!C23</f>
        <v>115.93625145857176</v>
      </c>
      <c r="D31" s="10">
        <f>'Occ T2'!D23</f>
        <v>93.794072482198729</v>
      </c>
      <c r="E31" s="10">
        <f>'Occ T2'!E23</f>
        <v>102.69428827818803</v>
      </c>
      <c r="F31" s="10">
        <f>'Occ T2'!F23</f>
        <v>103.36815417917676</v>
      </c>
      <c r="H31" s="11">
        <f t="shared" ref="H31:H32" si="16">C31-B31</f>
        <v>4.2297548120712634</v>
      </c>
      <c r="I31" s="30">
        <f t="shared" si="5"/>
        <v>-22.142178976373032</v>
      </c>
      <c r="J31" s="11">
        <f t="shared" ref="J31:J32" si="17">E31-D31</f>
        <v>8.9002157959892969</v>
      </c>
      <c r="K31" s="11">
        <f t="shared" ref="K31:K32" si="18">F31-E31</f>
        <v>0.67386590098873</v>
      </c>
      <c r="L31" s="30">
        <f t="shared" si="4"/>
        <v>9.5740816969780269</v>
      </c>
    </row>
    <row r="32" spans="1:12" x14ac:dyDescent="0.2">
      <c r="A32" s="10" t="str">
        <f>'Occ T2'!A24</f>
        <v>54 Textiles, printing and other skilled trades</v>
      </c>
      <c r="B32" s="10">
        <f>'Occ T2'!B24</f>
        <v>59.378092512611914</v>
      </c>
      <c r="C32" s="10">
        <f>'Occ T2'!C24</f>
        <v>56.992633434301148</v>
      </c>
      <c r="D32" s="10">
        <f>'Occ T2'!D24</f>
        <v>55.443570145470069</v>
      </c>
      <c r="E32" s="10">
        <f>'Occ T2'!E24</f>
        <v>56.258672802843392</v>
      </c>
      <c r="F32" s="10">
        <f>'Occ T2'!F24</f>
        <v>54.266577337981488</v>
      </c>
      <c r="H32" s="11">
        <f t="shared" si="16"/>
        <v>-2.3854590783107668</v>
      </c>
      <c r="I32" s="30">
        <f t="shared" si="5"/>
        <v>-1.5490632888310785</v>
      </c>
      <c r="J32" s="11">
        <f t="shared" si="17"/>
        <v>0.81510265737332332</v>
      </c>
      <c r="K32" s="11">
        <f t="shared" si="18"/>
        <v>-1.9920954648619045</v>
      </c>
      <c r="L32" s="30">
        <f t="shared" si="4"/>
        <v>-1.1769928074885811</v>
      </c>
    </row>
    <row r="33" spans="1:12" x14ac:dyDescent="0.2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x14ac:dyDescent="0.2">
      <c r="A34" s="29" t="str">
        <f>'Occ T1'!A13</f>
        <v>Caring, leisure and other service occupations</v>
      </c>
      <c r="B34" s="30">
        <f>'Occ T1'!B13</f>
        <v>290.07070785869405</v>
      </c>
      <c r="C34" s="30">
        <f>'Occ T1'!C13</f>
        <v>294.43876710187271</v>
      </c>
      <c r="D34" s="30">
        <f>'Occ T1'!D13</f>
        <v>277.08533235276252</v>
      </c>
      <c r="E34" s="30">
        <f>'Occ T1'!E13</f>
        <v>303.49396593889469</v>
      </c>
      <c r="F34" s="30">
        <f>'Occ T1'!F13</f>
        <v>336.06765480598972</v>
      </c>
      <c r="H34" s="30">
        <f t="shared" ref="H34:K36" si="19">C34-B34</f>
        <v>4.3680592431786636</v>
      </c>
      <c r="I34" s="30">
        <f t="shared" si="5"/>
        <v>-17.353434749110193</v>
      </c>
      <c r="J34" s="30">
        <f t="shared" si="19"/>
        <v>26.408633586132169</v>
      </c>
      <c r="K34" s="30">
        <f t="shared" si="19"/>
        <v>32.573688867095029</v>
      </c>
      <c r="L34" s="30">
        <f t="shared" si="4"/>
        <v>58.982322453227198</v>
      </c>
    </row>
    <row r="35" spans="1:12" x14ac:dyDescent="0.2">
      <c r="A35" s="10" t="str">
        <f>'Occ T2'!A25</f>
        <v>61 Caring personal service occupations</v>
      </c>
      <c r="B35" s="10">
        <f>'Occ T2'!B25</f>
        <v>226.34981501818203</v>
      </c>
      <c r="C35" s="10">
        <f>'Occ T2'!C25</f>
        <v>223.82371960747344</v>
      </c>
      <c r="D35" s="10">
        <f>'Occ T2'!D25</f>
        <v>213.74995100728043</v>
      </c>
      <c r="E35" s="10">
        <f>'Occ T2'!E25</f>
        <v>235.35687974236151</v>
      </c>
      <c r="F35" s="10">
        <f>'Occ T2'!F25</f>
        <v>261.37055548425388</v>
      </c>
      <c r="G35" s="10"/>
      <c r="H35" s="11">
        <f t="shared" si="19"/>
        <v>-2.5260954107085922</v>
      </c>
      <c r="I35" s="30">
        <f t="shared" si="5"/>
        <v>-10.073768600193006</v>
      </c>
      <c r="J35" s="11">
        <f t="shared" si="19"/>
        <v>21.606928735081084</v>
      </c>
      <c r="K35" s="11">
        <f t="shared" si="19"/>
        <v>26.013675741892371</v>
      </c>
      <c r="L35" s="30">
        <f t="shared" si="4"/>
        <v>47.620604476973455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61.407742014586113</v>
      </c>
      <c r="C36" s="10">
        <f>'Occ T2'!C26</f>
        <v>68.70716383370474</v>
      </c>
      <c r="D36" s="10">
        <f>'Occ T2'!D26</f>
        <v>60.737895765777509</v>
      </c>
      <c r="E36" s="10">
        <f>'Occ T2'!E26</f>
        <v>66.143086174876487</v>
      </c>
      <c r="F36" s="10">
        <f>'Occ T2'!F26</f>
        <v>72.595305939625703</v>
      </c>
      <c r="G36" s="10"/>
      <c r="H36" s="11">
        <f t="shared" si="19"/>
        <v>7.2994218191186278</v>
      </c>
      <c r="I36" s="30">
        <f t="shared" si="5"/>
        <v>-7.9692680679272314</v>
      </c>
      <c r="J36" s="11">
        <f t="shared" si="19"/>
        <v>5.405190409098978</v>
      </c>
      <c r="K36" s="11">
        <f t="shared" si="19"/>
        <v>6.4522197647492163</v>
      </c>
      <c r="L36" s="30">
        <f t="shared" si="4"/>
        <v>11.857410173848194</v>
      </c>
    </row>
    <row r="37" spans="1:12" x14ac:dyDescent="0.2">
      <c r="A37" s="10" t="str">
        <f>'Occ T2'!A27</f>
        <v>63 Community and civil enforcement occupations</v>
      </c>
      <c r="B37" s="10">
        <f>'Occ T2'!B27</f>
        <v>2.3131508259259101</v>
      </c>
      <c r="C37" s="10">
        <f>'Occ T2'!C27</f>
        <v>1.9078836606945633</v>
      </c>
      <c r="D37" s="10">
        <f>'Occ T2'!D27</f>
        <v>2.5974855797046024</v>
      </c>
      <c r="E37" s="10">
        <f>'Occ T2'!E27</f>
        <v>1.9940000216567171</v>
      </c>
      <c r="F37" s="10">
        <f>'Occ T2'!F27</f>
        <v>2.1017933821101242</v>
      </c>
      <c r="G37" s="10"/>
      <c r="H37" s="11">
        <f t="shared" ref="H37" si="20">C37-B37</f>
        <v>-0.40526716523134687</v>
      </c>
      <c r="I37" s="30">
        <f t="shared" ref="I37" si="21">D37-C37</f>
        <v>0.68960191901003909</v>
      </c>
      <c r="J37" s="11">
        <f t="shared" ref="J37" si="22">E37-D37</f>
        <v>-0.60348555804788528</v>
      </c>
      <c r="K37" s="11">
        <f>F37-E37</f>
        <v>0.10779336045340715</v>
      </c>
      <c r="L37" s="30">
        <f t="shared" ref="L37" si="23">F37-D37</f>
        <v>-0.49569219759447813</v>
      </c>
    </row>
    <row r="38" spans="1:12" x14ac:dyDescent="0.2">
      <c r="I38" s="30"/>
      <c r="L38" s="30"/>
    </row>
    <row r="39" spans="1:12" s="29" customFormat="1" x14ac:dyDescent="0.2">
      <c r="A39" s="29" t="str">
        <f>'Occ T1'!A14</f>
        <v>Sales and customer service occupations</v>
      </c>
      <c r="B39" s="30">
        <f>'Occ T1'!B14</f>
        <v>256.84031370282202</v>
      </c>
      <c r="C39" s="30">
        <f>'Occ T1'!C14</f>
        <v>251.30591714714487</v>
      </c>
      <c r="D39" s="30">
        <f>'Occ T1'!D14</f>
        <v>253.42954939024094</v>
      </c>
      <c r="E39" s="30">
        <f>'Occ T1'!E14</f>
        <v>255.34052772626313</v>
      </c>
      <c r="F39" s="30">
        <f>'Occ T1'!F14</f>
        <v>254.44754524875714</v>
      </c>
      <c r="H39" s="30">
        <f>C39-B39</f>
        <v>-5.5343965556771479</v>
      </c>
      <c r="I39" s="30">
        <f t="shared" si="5"/>
        <v>2.1236322430960684</v>
      </c>
      <c r="J39" s="30">
        <f>E39-D39</f>
        <v>1.9109783360221968</v>
      </c>
      <c r="K39" s="30">
        <f>F39-E39</f>
        <v>-0.89298247750599558</v>
      </c>
      <c r="L39" s="30">
        <f t="shared" si="4"/>
        <v>1.0179958585162012</v>
      </c>
    </row>
    <row r="40" spans="1:12" s="29" customFormat="1" x14ac:dyDescent="0.2">
      <c r="A40" s="125" t="str">
        <f>'Occ T2'!A28</f>
        <v>71 Sales occupations</v>
      </c>
      <c r="B40" s="125">
        <f>'Occ T2'!B28</f>
        <v>215.33943518586108</v>
      </c>
      <c r="C40" s="125">
        <f>'Occ T2'!C28</f>
        <v>205.67561264127193</v>
      </c>
      <c r="D40" s="125">
        <f>'Occ T2'!D28</f>
        <v>205.71646638462903</v>
      </c>
      <c r="E40" s="125">
        <f>'Occ T2'!E28</f>
        <v>193.54246535149821</v>
      </c>
      <c r="F40" s="125">
        <f>'Occ T2'!F28</f>
        <v>183.50111866544393</v>
      </c>
      <c r="G40"/>
      <c r="H40" s="11">
        <f t="shared" ref="H40" si="24">C40-B40</f>
        <v>-9.6638225445891521</v>
      </c>
      <c r="I40" s="30">
        <f t="shared" si="5"/>
        <v>4.0853743357104122E-2</v>
      </c>
      <c r="J40" s="11">
        <f t="shared" ref="J40" si="25">E40-D40</f>
        <v>-12.174001033130821</v>
      </c>
      <c r="K40" s="11">
        <f t="shared" ref="K40" si="26">F40-E40</f>
        <v>-10.041346686054283</v>
      </c>
      <c r="L40" s="30">
        <f t="shared" si="4"/>
        <v>-22.215347719185104</v>
      </c>
    </row>
    <row r="41" spans="1:12" s="29" customFormat="1" x14ac:dyDescent="0.2">
      <c r="A41" s="125" t="str">
        <f>'Occ T2'!A29</f>
        <v>72 Customer service occupations</v>
      </c>
      <c r="B41" s="125">
        <f>'Occ T2'!B29</f>
        <v>41.500878516960952</v>
      </c>
      <c r="C41" s="125">
        <f>'Occ T2'!C29</f>
        <v>45.630304505872942</v>
      </c>
      <c r="D41" s="125">
        <f>'Occ T2'!D29</f>
        <v>47.713083005611892</v>
      </c>
      <c r="E41" s="125">
        <f>'Occ T2'!E29</f>
        <v>61.798062374764939</v>
      </c>
      <c r="F41" s="125">
        <f>'Occ T2'!F29</f>
        <v>70.946426583313226</v>
      </c>
      <c r="G41"/>
      <c r="H41" s="11">
        <f t="shared" ref="H41" si="27">C41-B41</f>
        <v>4.12942598891199</v>
      </c>
      <c r="I41" s="30">
        <f t="shared" si="5"/>
        <v>2.08277849973895</v>
      </c>
      <c r="J41" s="11">
        <f t="shared" ref="J41" si="28">E41-D41</f>
        <v>14.084979369153046</v>
      </c>
      <c r="K41" s="11">
        <f t="shared" ref="K41" si="29">F41-E41</f>
        <v>9.148364208548287</v>
      </c>
      <c r="L41" s="30">
        <f t="shared" si="4"/>
        <v>23.233343577701334</v>
      </c>
    </row>
    <row r="42" spans="1:12" x14ac:dyDescent="0.2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x14ac:dyDescent="0.2">
      <c r="A43" s="29" t="str">
        <f>'Occ T1'!A15</f>
        <v>Process, plant and machine operatives</v>
      </c>
      <c r="B43" s="30">
        <f>'Occ T1'!B15</f>
        <v>159.49949243494439</v>
      </c>
      <c r="C43" s="30">
        <f>'Occ T1'!C15</f>
        <v>162.35139992303468</v>
      </c>
      <c r="D43" s="30">
        <f>'Occ T1'!D15</f>
        <v>144.73576200901678</v>
      </c>
      <c r="E43" s="30">
        <f>'Occ T1'!E15</f>
        <v>163.64072742509563</v>
      </c>
      <c r="F43" s="30">
        <f>'Occ T1'!F15</f>
        <v>165.50577506208251</v>
      </c>
      <c r="H43" s="30">
        <f t="shared" ref="H43:K45" si="30">C43-B43</f>
        <v>2.8519074880902906</v>
      </c>
      <c r="I43" s="30">
        <f t="shared" si="5"/>
        <v>-17.615637914017896</v>
      </c>
      <c r="J43" s="30">
        <f t="shared" si="30"/>
        <v>18.904965416078852</v>
      </c>
      <c r="K43" s="30">
        <f t="shared" si="30"/>
        <v>1.8650476369868727</v>
      </c>
      <c r="L43" s="30">
        <f t="shared" si="4"/>
        <v>20.770013053065725</v>
      </c>
    </row>
    <row r="44" spans="1:12" x14ac:dyDescent="0.2">
      <c r="A44" s="10" t="str">
        <f>'Occ T2'!A30</f>
        <v>81 Process, plant and machine operatives</v>
      </c>
      <c r="B44" s="10">
        <f>'Occ T2'!B30</f>
        <v>73.880158585249745</v>
      </c>
      <c r="C44" s="10">
        <f>'Occ T2'!C30</f>
        <v>71.020391017063901</v>
      </c>
      <c r="D44" s="10">
        <f>'Occ T2'!D30</f>
        <v>62.582118755619781</v>
      </c>
      <c r="E44" s="10">
        <f>'Occ T2'!E30</f>
        <v>75.783037685328537</v>
      </c>
      <c r="F44" s="10">
        <f>'Occ T2'!F30</f>
        <v>75.3654050728952</v>
      </c>
      <c r="H44" s="11">
        <f t="shared" si="30"/>
        <v>-2.8597675681858448</v>
      </c>
      <c r="I44" s="30">
        <f t="shared" si="5"/>
        <v>-8.4382722614441192</v>
      </c>
      <c r="J44" s="11">
        <f t="shared" si="30"/>
        <v>13.200918929708756</v>
      </c>
      <c r="K44" s="11">
        <f t="shared" si="30"/>
        <v>-0.41763261243333716</v>
      </c>
      <c r="L44" s="30">
        <f t="shared" si="4"/>
        <v>12.783286317275419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85.619333849694627</v>
      </c>
      <c r="C45" s="10">
        <f>'Occ T2'!C31</f>
        <v>91.331008905970776</v>
      </c>
      <c r="D45" s="10">
        <f>'Occ T2'!D31</f>
        <v>82.153643253397007</v>
      </c>
      <c r="E45" s="10">
        <f>'Occ T2'!E31</f>
        <v>87.85768973976711</v>
      </c>
      <c r="F45" s="10">
        <f>'Occ T2'!F31</f>
        <v>90.140369989187306</v>
      </c>
      <c r="H45" s="11">
        <f t="shared" si="30"/>
        <v>5.7116750562761496</v>
      </c>
      <c r="I45" s="30">
        <f t="shared" si="5"/>
        <v>-9.1773656525737692</v>
      </c>
      <c r="J45" s="11">
        <f t="shared" si="30"/>
        <v>5.7040464863701033</v>
      </c>
      <c r="K45" s="11">
        <f t="shared" si="30"/>
        <v>2.2826802494201957</v>
      </c>
      <c r="L45" s="30">
        <f t="shared" si="4"/>
        <v>7.9867267357902989</v>
      </c>
    </row>
    <row r="46" spans="1:12" x14ac:dyDescent="0.2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x14ac:dyDescent="0.2">
      <c r="A47" s="29" t="str">
        <f>'Occ T1'!A16</f>
        <v>Elementary occupations</v>
      </c>
      <c r="B47" s="30">
        <f>'Occ T1'!B16</f>
        <v>319.52762595538832</v>
      </c>
      <c r="C47" s="30">
        <f>'Occ T1'!C16</f>
        <v>317.82248686107948</v>
      </c>
      <c r="D47" s="30">
        <f>'Occ T1'!D16</f>
        <v>296.29705541503404</v>
      </c>
      <c r="E47" s="30">
        <f>'Occ T1'!E16</f>
        <v>306.89225466411546</v>
      </c>
      <c r="F47" s="30">
        <f>'Occ T1'!F16</f>
        <v>299.85757506100578</v>
      </c>
      <c r="H47" s="30">
        <f t="shared" ref="H47:K49" si="31">C47-B47</f>
        <v>-1.7051390943088336</v>
      </c>
      <c r="I47" s="30">
        <f t="shared" si="5"/>
        <v>-21.525431446045445</v>
      </c>
      <c r="J47" s="30">
        <f t="shared" si="31"/>
        <v>10.595199249081418</v>
      </c>
      <c r="K47" s="30">
        <f t="shared" si="31"/>
        <v>-7.0346796031096801</v>
      </c>
      <c r="L47" s="30">
        <f t="shared" si="4"/>
        <v>3.5605196459717376</v>
      </c>
    </row>
    <row r="48" spans="1:12" x14ac:dyDescent="0.2">
      <c r="A48" s="10" t="str">
        <f>'Occ T2'!A32</f>
        <v>91 Elementary trades and related occupations</v>
      </c>
      <c r="B48" s="10">
        <f>'Occ T2'!B32</f>
        <v>51.619419586461767</v>
      </c>
      <c r="C48" s="10">
        <f>'Occ T2'!C32</f>
        <v>45.787577245667286</v>
      </c>
      <c r="D48" s="10">
        <f>'Occ T2'!D32</f>
        <v>41.169715797010497</v>
      </c>
      <c r="E48" s="10">
        <f>'Occ T2'!E32</f>
        <v>36.484962734682078</v>
      </c>
      <c r="F48" s="10">
        <f>'Occ T2'!F32</f>
        <v>36.262160530619973</v>
      </c>
      <c r="H48" s="11">
        <f>C48-B48</f>
        <v>-5.8318423407944806</v>
      </c>
      <c r="I48" s="30">
        <f t="shared" si="5"/>
        <v>-4.6178614486567895</v>
      </c>
      <c r="J48" s="11">
        <f t="shared" si="31"/>
        <v>-4.6847530623284186</v>
      </c>
      <c r="K48" s="11">
        <f t="shared" si="31"/>
        <v>-0.2228022040621056</v>
      </c>
      <c r="L48" s="30">
        <f t="shared" si="4"/>
        <v>-4.9075552663905242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267.90820636892653</v>
      </c>
      <c r="C49" s="10">
        <f>'Occ T2'!C33</f>
        <v>272.03490961541218</v>
      </c>
      <c r="D49" s="10">
        <f>'Occ T2'!D33</f>
        <v>255.12733961802351</v>
      </c>
      <c r="E49" s="10">
        <f>'Occ T2'!E33</f>
        <v>270.40729192943337</v>
      </c>
      <c r="F49" s="10">
        <f>'Occ T2'!F33</f>
        <v>263.59541453038582</v>
      </c>
      <c r="H49" s="11">
        <f t="shared" si="31"/>
        <v>4.126703246485647</v>
      </c>
      <c r="I49" s="30">
        <f t="shared" si="5"/>
        <v>-16.907569997388663</v>
      </c>
      <c r="J49" s="11">
        <f t="shared" si="31"/>
        <v>15.279952311409858</v>
      </c>
      <c r="K49" s="11">
        <f t="shared" si="31"/>
        <v>-6.8118773990475461</v>
      </c>
      <c r="L49" s="30">
        <f t="shared" si="4"/>
        <v>8.4680749123623116</v>
      </c>
    </row>
    <row r="50" spans="1:12" x14ac:dyDescent="0.2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x14ac:dyDescent="0.2">
      <c r="A51" s="38" t="str">
        <f>'Occ T1'!A18</f>
        <v>All occupations</v>
      </c>
      <c r="B51" s="33">
        <f>'Occ T1'!B18</f>
        <v>2817.8519999971131</v>
      </c>
      <c r="C51" s="33">
        <f>'Occ T1'!C18</f>
        <v>2962.1069999996516</v>
      </c>
      <c r="D51" s="33">
        <f>'Occ T1'!D18</f>
        <v>2929.5869999964643</v>
      </c>
      <c r="E51" s="33">
        <f>'Occ T1'!E18</f>
        <v>3058.6549999943331</v>
      </c>
      <c r="F51" s="33">
        <f>'Occ T1'!F18</f>
        <v>3240.0929999972918</v>
      </c>
      <c r="G51" s="23"/>
      <c r="H51" s="33">
        <f>C51-B51</f>
        <v>144.25500000253851</v>
      </c>
      <c r="I51" s="205">
        <f>D51-C51</f>
        <v>-32.520000003187306</v>
      </c>
      <c r="J51" s="33">
        <f>E51-D51</f>
        <v>129.06799999786881</v>
      </c>
      <c r="K51" s="33">
        <f>F51-E51</f>
        <v>181.43800000295869</v>
      </c>
      <c r="L51" s="205">
        <f>F51-D51</f>
        <v>310.5060000008275</v>
      </c>
    </row>
    <row r="53" spans="1:12" ht="15.75" x14ac:dyDescent="0.25">
      <c r="A53" s="18" t="str">
        <f>CONCATENATE(A1," (Continued)")</f>
        <v>Occupation Table 3  Employment Change by Occupation in Occupation Group (SOC 2020), 2015-2035, South West (Continued)</v>
      </c>
    </row>
    <row r="55" spans="1:12" x14ac:dyDescent="0.2">
      <c r="L55" s="15" t="s">
        <v>21</v>
      </c>
    </row>
    <row r="56" spans="1:12" x14ac:dyDescent="0.2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2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x14ac:dyDescent="0.2">
      <c r="A59" s="29" t="str">
        <f>A7</f>
        <v>Managers, directors and senior officials</v>
      </c>
      <c r="B59" s="43">
        <f>IF(AND(C$5-B$5 &lt;&gt; 0,C7 &lt;&gt; 0,B7 &lt;&gt; 0),(EXP(LN(C7/B7)/(C$5-B$5))-1)*100,0)</f>
        <v>3.8846957011833494</v>
      </c>
      <c r="C59" s="43">
        <f>IF(AND(D$5-C$5 &lt;&gt; 0,D7 &lt;&gt; 0,C7 &lt;&gt; 0),(EXP(LN(D7/C7)/(D$5-C$5))-1)*100,0)</f>
        <v>2.6090660039105096</v>
      </c>
      <c r="D59" s="43">
        <f>IF(AND(E$5-D$5 &lt;&gt; 0,E7 &lt;&gt; 0,D7 &lt;&gt; 0),(EXP(LN(E7/D7)/(E$5-D$5))-1)*100,0)</f>
        <v>0.83712411442939949</v>
      </c>
      <c r="E59" s="43">
        <f>IF(AND(F$5-E$5 &lt;&gt; 0,F7 &lt;&gt; 0,E7 &lt;&gt; 0),(EXP(LN(F7/E7)/(F$5-E$5))-1)*100,0)</f>
        <v>1.1661390774260427</v>
      </c>
      <c r="F59" s="43">
        <f>IF(AND(F$5-D$5 &lt;&gt; 0,F7 &lt;&gt; 0,D7 &lt;&gt; 0),(EXP(LN(F7/D7)/(F$5-D$5))-1)*100,0)</f>
        <v>1.0563483155450193</v>
      </c>
      <c r="H59" s="43">
        <f>(B7/B$51)*100</f>
        <v>9.9976137980683575</v>
      </c>
      <c r="I59" s="43">
        <f>(C7/C$51)*100</f>
        <v>11.076947080844839</v>
      </c>
      <c r="J59" s="43">
        <f>(D7/D$51)*100</f>
        <v>11.492120154591099</v>
      </c>
      <c r="K59" s="43">
        <f>(E7/E$51)*100</f>
        <v>11.475677095242228</v>
      </c>
      <c r="L59" s="43">
        <f>(F7/F$51)*100</f>
        <v>12.164747404233571</v>
      </c>
    </row>
    <row r="60" spans="1:12" s="29" customFormat="1" x14ac:dyDescent="0.2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4.6209697378339687</v>
      </c>
      <c r="C60" s="43">
        <f t="shared" si="32"/>
        <v>3.1959741468900793</v>
      </c>
      <c r="D60" s="43">
        <f t="shared" si="32"/>
        <v>-1.2600954734232284</v>
      </c>
      <c r="E60" s="43">
        <f t="shared" si="32"/>
        <v>1.0033350309739175</v>
      </c>
      <c r="F60" s="43">
        <f>IF(AND(F$5-D$5 &lt;&gt; 0,F8 &lt;&gt; 0,D8 &lt;&gt; 0),(EXP(LN(F8/D8)/(F$5-D$5))-1)*100,0)</f>
        <v>0.24315115938382537</v>
      </c>
      <c r="H60" s="43">
        <f t="shared" ref="H60:L60" si="33">(B8/B$51)*100</f>
        <v>6.3270797980697537</v>
      </c>
      <c r="I60" s="43">
        <f t="shared" si="33"/>
        <v>7.2110036186597251</v>
      </c>
      <c r="J60" s="43">
        <f t="shared" si="33"/>
        <v>7.5240697206171268</v>
      </c>
      <c r="K60" s="43">
        <f t="shared" si="33"/>
        <v>6.7638229682975055</v>
      </c>
      <c r="L60" s="43">
        <f t="shared" si="33"/>
        <v>7.0554121699180889</v>
      </c>
    </row>
    <row r="61" spans="1:12" s="29" customFormat="1" x14ac:dyDescent="0.2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2.5775217920961824</v>
      </c>
      <c r="C61" s="43">
        <f>IF(AND(D$5-C$5 &lt;&gt; 0,D9 &lt;&gt; 0,C9 &lt;&gt; 0),(EXP(LN(D9/C9)/(D$5-C$5))-1)*100,0)</f>
        <v>1.5143276084207402</v>
      </c>
      <c r="D61" s="43">
        <f t="shared" si="34"/>
        <v>4.3921277154516325</v>
      </c>
      <c r="E61" s="43">
        <f t="shared" si="34"/>
        <v>1.3957972708860789</v>
      </c>
      <c r="F61" s="43">
        <f>IF(AND(F$5-D$5 &lt;&gt; 0,F9 &lt;&gt; 0,D9 &lt;&gt; 0),(EXP(LN(F9/D9)/(F$5-D$5))-1)*100,0)</f>
        <v>2.3848942571800036</v>
      </c>
      <c r="H61" s="43">
        <f t="shared" ref="H61:L61" si="35">(B9/B$51)*100</f>
        <v>3.670533999998602</v>
      </c>
      <c r="I61" s="43">
        <f t="shared" si="35"/>
        <v>3.8659434621851139</v>
      </c>
      <c r="J61" s="43">
        <f t="shared" si="35"/>
        <v>3.9680504339739695</v>
      </c>
      <c r="K61" s="43">
        <f t="shared" si="35"/>
        <v>4.7118541269447212</v>
      </c>
      <c r="L61" s="43">
        <f t="shared" si="35"/>
        <v>5.1093352343154823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3.2904104275530033</v>
      </c>
      <c r="C63" s="43">
        <f t="shared" si="36"/>
        <v>3.2552550621118836</v>
      </c>
      <c r="D63" s="43">
        <f t="shared" si="36"/>
        <v>1.8405267249858914</v>
      </c>
      <c r="E63" s="43">
        <f t="shared" si="36"/>
        <v>1.2505224928277769</v>
      </c>
      <c r="F63" s="43">
        <f>IF(AND(F$5-D$5 &lt;&gt; 0,F11 &lt;&gt; 0,D11 &lt;&gt; 0),(EXP(LN(F11/D11)/(F$5-D$5))-1)*100,0)</f>
        <v>1.44680979585321</v>
      </c>
      <c r="H63" s="43">
        <f>(B11/B$51)*100</f>
        <v>19.725068265533409</v>
      </c>
      <c r="I63" s="43">
        <f>(C11/C$51)*100</f>
        <v>21.358756476579085</v>
      </c>
      <c r="J63" s="43">
        <f>(D11/D$51)*100</f>
        <v>22.298850231785579</v>
      </c>
      <c r="K63" s="43">
        <f>(E11/E$51)*100</f>
        <v>23.397074666338028</v>
      </c>
      <c r="L63" s="43">
        <f>(F11/F$51)*100</f>
        <v>25.009632436707445</v>
      </c>
    </row>
    <row r="64" spans="1:12" x14ac:dyDescent="0.2">
      <c r="A64" t="str">
        <f>A12</f>
        <v>21 Science, research, engineering and technology professionals</v>
      </c>
      <c r="B64" s="48">
        <f t="shared" si="36"/>
        <v>3.5397027457729324</v>
      </c>
      <c r="C64" s="43">
        <f t="shared" si="36"/>
        <v>3.2132799399875678</v>
      </c>
      <c r="D64" s="48">
        <f t="shared" si="36"/>
        <v>1.3100235502196522</v>
      </c>
      <c r="E64" s="48">
        <f t="shared" si="36"/>
        <v>1.1694300060461904</v>
      </c>
      <c r="F64" s="43">
        <f>IF(AND(F$5-D$5 &lt;&gt; 0,F12 &lt;&gt; 0,D12 &lt;&gt; 0),(EXP(LN(F12/D12)/(F$5-D$5))-1)*100,0)</f>
        <v>1.2162728285591395</v>
      </c>
      <c r="H64" s="39">
        <f t="shared" ref="H64:L67" si="37">(B12/B$11)*100</f>
        <v>26.510385211643523</v>
      </c>
      <c r="I64" s="39">
        <f t="shared" si="37"/>
        <v>26.767245441073001</v>
      </c>
      <c r="J64" s="39">
        <f t="shared" si="37"/>
        <v>26.756364073382379</v>
      </c>
      <c r="K64" s="39">
        <f t="shared" si="37"/>
        <v>26.066696420861135</v>
      </c>
      <c r="L64" s="39">
        <f t="shared" si="37"/>
        <v>25.858676644359324</v>
      </c>
    </row>
    <row r="65" spans="1:12" x14ac:dyDescent="0.2">
      <c r="A65" t="str">
        <f>A13</f>
        <v>22 Health professionals</v>
      </c>
      <c r="B65" s="48">
        <f t="shared" si="36"/>
        <v>2.7608044769757756</v>
      </c>
      <c r="C65" s="43">
        <f t="shared" si="36"/>
        <v>-0.91038975420649759</v>
      </c>
      <c r="D65" s="48">
        <f t="shared" si="36"/>
        <v>2.2414785222081068</v>
      </c>
      <c r="E65" s="48">
        <f t="shared" si="36"/>
        <v>1.4736126246968073</v>
      </c>
      <c r="F65" s="43">
        <f>IF(AND(F$5-D$5 &lt;&gt; 0,F13 &lt;&gt; 0,D13 &lt;&gt; 0),(EXP(LN(F13/D13)/(F$5-D$5))-1)*100,0)</f>
        <v>1.7289250071525819</v>
      </c>
      <c r="H65" s="39">
        <f t="shared" si="37"/>
        <v>22.155300350926979</v>
      </c>
      <c r="I65" s="39">
        <f t="shared" si="37"/>
        <v>21.704391357312897</v>
      </c>
      <c r="J65" s="39">
        <f t="shared" si="37"/>
        <v>20.828767300265643</v>
      </c>
      <c r="K65" s="39">
        <f t="shared" si="37"/>
        <v>21.242028635070429</v>
      </c>
      <c r="L65" s="39">
        <f t="shared" si="37"/>
        <v>21.714732416531376</v>
      </c>
    </row>
    <row r="66" spans="1:12" x14ac:dyDescent="0.2">
      <c r="A66" t="str">
        <f>A14</f>
        <v>23 Teaching and other educational professionals</v>
      </c>
      <c r="B66" s="48">
        <f t="shared" si="36"/>
        <v>2.5756150710480874</v>
      </c>
      <c r="C66" s="43">
        <f t="shared" si="36"/>
        <v>0.7365826746829951</v>
      </c>
      <c r="D66" s="48">
        <f t="shared" si="36"/>
        <v>1.1306736530380501</v>
      </c>
      <c r="E66" s="48">
        <f t="shared" si="36"/>
        <v>1.034479573143865</v>
      </c>
      <c r="F66" s="43">
        <f>IF(AND(F$5-D$5 &lt;&gt; 0,F14 &lt;&gt; 0,D14 &lt;&gt; 0),(EXP(LN(F14/D14)/(F$5-D$5))-1)*100,0)</f>
        <v>1.0665340956459879</v>
      </c>
      <c r="H66" s="39">
        <f t="shared" si="37"/>
        <v>23.741502254045908</v>
      </c>
      <c r="I66" s="39">
        <f t="shared" si="37"/>
        <v>23.091104270937372</v>
      </c>
      <c r="J66" s="39">
        <f t="shared" si="37"/>
        <v>22.527850355313745</v>
      </c>
      <c r="K66" s="39">
        <f t="shared" si="37"/>
        <v>21.753596528542694</v>
      </c>
      <c r="L66" s="39">
        <f t="shared" si="37"/>
        <v>21.29386158100473</v>
      </c>
    </row>
    <row r="67" spans="1:12" x14ac:dyDescent="0.2">
      <c r="A67" t="str">
        <f>A15</f>
        <v>24 Business, media and public service professionals</v>
      </c>
      <c r="B67" s="48">
        <f t="shared" si="36"/>
        <v>4.0717709865307539</v>
      </c>
      <c r="C67" s="43">
        <f t="shared" si="36"/>
        <v>8.5193091973091661</v>
      </c>
      <c r="D67" s="48">
        <f t="shared" si="36"/>
        <v>2.5466938762353841</v>
      </c>
      <c r="E67" s="48">
        <f t="shared" si="36"/>
        <v>1.3141769228915967</v>
      </c>
      <c r="F67" s="43">
        <f>IF(AND(F$5-D$5 &lt;&gt; 0,F15 &lt;&gt; 0,D15 &lt;&gt; 0),(EXP(LN(F15/D15)/(F$5-D$5))-1)*100,0)</f>
        <v>1.7233610838155</v>
      </c>
      <c r="H67" s="39">
        <f t="shared" si="37"/>
        <v>27.592812183383579</v>
      </c>
      <c r="I67" s="39">
        <f t="shared" si="37"/>
        <v>28.437258930676744</v>
      </c>
      <c r="J67" s="39">
        <f t="shared" si="37"/>
        <v>29.88701827103824</v>
      </c>
      <c r="K67" s="39">
        <f t="shared" si="37"/>
        <v>30.937678415525738</v>
      </c>
      <c r="L67" s="39">
        <f t="shared" si="37"/>
        <v>31.132729358104566</v>
      </c>
    </row>
    <row r="68" spans="1:12" x14ac:dyDescent="0.2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x14ac:dyDescent="0.2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2.1529718846303503</v>
      </c>
      <c r="C69" s="43">
        <f t="shared" si="39"/>
        <v>3.8707859426656777</v>
      </c>
      <c r="D69" s="43">
        <f t="shared" si="39"/>
        <v>9.5954999833169907E-3</v>
      </c>
      <c r="E69" s="43">
        <f t="shared" si="39"/>
        <v>0.91084877618121673</v>
      </c>
      <c r="F69" s="43">
        <f t="shared" ref="F69:F74" si="40">IF(AND(F$5-D$5 &lt;&gt; 0,F17 &lt;&gt; 0,D17 &lt;&gt; 0),(EXP(LN(F17/D17)/(F$5-D$5))-1)*100,0)</f>
        <v>0.60953219122281688</v>
      </c>
      <c r="H69" s="43">
        <f>(B17/B$51)*100</f>
        <v>11.789153065086984</v>
      </c>
      <c r="I69" s="43">
        <f>(C17/C$51)*100</f>
        <v>12.212485656312985</v>
      </c>
      <c r="J69" s="43">
        <f>(D17/D$51)*100</f>
        <v>12.826017468092202</v>
      </c>
      <c r="K69" s="43">
        <f>(E17/E$51)*100</f>
        <v>12.290684961284692</v>
      </c>
      <c r="L69" s="43">
        <f>(F17/F$51)*100</f>
        <v>12.703625888262851</v>
      </c>
    </row>
    <row r="70" spans="1:12" x14ac:dyDescent="0.2">
      <c r="A70" t="str">
        <f t="shared" si="38"/>
        <v>31 Science, engineering and technology associate professionals</v>
      </c>
      <c r="B70" s="48">
        <f t="shared" si="39"/>
        <v>4.4298901775038591</v>
      </c>
      <c r="C70" s="43">
        <f t="shared" si="39"/>
        <v>9.3696609476614725</v>
      </c>
      <c r="D70" s="48">
        <f t="shared" si="39"/>
        <v>-2.3209524416663907</v>
      </c>
      <c r="E70" s="48">
        <f t="shared" si="39"/>
        <v>0.72422863400629645</v>
      </c>
      <c r="F70" s="43">
        <f t="shared" si="40"/>
        <v>-0.30123647041889745</v>
      </c>
      <c r="H70" s="39">
        <f t="shared" ref="H70:L74" si="41">(B18/B$17)*100</f>
        <v>13.243548548899298</v>
      </c>
      <c r="I70" s="39">
        <f t="shared" si="41"/>
        <v>14.464373565560996</v>
      </c>
      <c r="J70" s="39">
        <f t="shared" si="41"/>
        <v>15.230111318873925</v>
      </c>
      <c r="K70" s="39">
        <f t="shared" si="41"/>
        <v>13.53635717773545</v>
      </c>
      <c r="L70" s="39">
        <f t="shared" si="41"/>
        <v>13.288094742948097</v>
      </c>
    </row>
    <row r="71" spans="1:12" x14ac:dyDescent="0.2">
      <c r="A71" t="str">
        <f t="shared" si="38"/>
        <v>32 Health and social care associate professionals</v>
      </c>
      <c r="B71" s="48">
        <f t="shared" si="39"/>
        <v>1.6667263769465146</v>
      </c>
      <c r="C71" s="43">
        <f t="shared" si="39"/>
        <v>0.76765177711415333</v>
      </c>
      <c r="D71" s="48">
        <f t="shared" si="39"/>
        <v>0.88568579266665726</v>
      </c>
      <c r="E71" s="48">
        <f t="shared" si="39"/>
        <v>1.3471483590249633</v>
      </c>
      <c r="F71" s="43">
        <f t="shared" si="40"/>
        <v>1.1930934477469402</v>
      </c>
      <c r="H71" s="39">
        <f t="shared" si="41"/>
        <v>16.466948473400553</v>
      </c>
      <c r="I71" s="39">
        <f t="shared" si="41"/>
        <v>16.155650965363971</v>
      </c>
      <c r="J71" s="39">
        <f t="shared" si="41"/>
        <v>15.673001758251793</v>
      </c>
      <c r="K71" s="39">
        <f t="shared" si="41"/>
        <v>16.37161720014101</v>
      </c>
      <c r="L71" s="39">
        <f t="shared" si="41"/>
        <v>17.093394797499904</v>
      </c>
    </row>
    <row r="72" spans="1:12" x14ac:dyDescent="0.2">
      <c r="A72" t="str">
        <f t="shared" si="38"/>
        <v>33 Protective service occupations</v>
      </c>
      <c r="B72" s="48">
        <f t="shared" si="39"/>
        <v>0.961518639661052</v>
      </c>
      <c r="C72" s="43">
        <f t="shared" si="39"/>
        <v>7.8375227017317917</v>
      </c>
      <c r="D72" s="48">
        <f t="shared" si="39"/>
        <v>4.1437047651054826</v>
      </c>
      <c r="E72" s="48">
        <f t="shared" si="39"/>
        <v>1.4405700967561108</v>
      </c>
      <c r="F72" s="43">
        <f t="shared" si="40"/>
        <v>2.3337278843928777</v>
      </c>
      <c r="H72" s="39">
        <f t="shared" si="41"/>
        <v>5.6948845070127003</v>
      </c>
      <c r="I72" s="39">
        <f t="shared" si="41"/>
        <v>5.4338093348584682</v>
      </c>
      <c r="J72" s="39">
        <f t="shared" si="41"/>
        <v>5.6413218807078582</v>
      </c>
      <c r="K72" s="39">
        <f t="shared" si="41"/>
        <v>6.9077663866081256</v>
      </c>
      <c r="L72" s="39">
        <f t="shared" si="41"/>
        <v>7.2790694586288565</v>
      </c>
    </row>
    <row r="73" spans="1:12" x14ac:dyDescent="0.2">
      <c r="A73" t="str">
        <f t="shared" si="38"/>
        <v>34 Culture, media and sports occupations</v>
      </c>
      <c r="B73" s="48">
        <f t="shared" si="39"/>
        <v>2.1053088205137627</v>
      </c>
      <c r="C73" s="43">
        <f t="shared" si="39"/>
        <v>-0.72621618281110134</v>
      </c>
      <c r="D73" s="48">
        <f t="shared" si="39"/>
        <v>1.0112664311355601</v>
      </c>
      <c r="E73" s="48">
        <f t="shared" si="39"/>
        <v>1.4954801542987228</v>
      </c>
      <c r="F73" s="43">
        <f t="shared" si="40"/>
        <v>1.3338182216056982</v>
      </c>
      <c r="H73" s="39">
        <f t="shared" si="41"/>
        <v>17.348984385232104</v>
      </c>
      <c r="I73" s="39">
        <f t="shared" si="41"/>
        <v>17.31662792268806</v>
      </c>
      <c r="J73" s="39">
        <f t="shared" si="41"/>
        <v>16.550247129048664</v>
      </c>
      <c r="K73" s="39">
        <f t="shared" si="41"/>
        <v>17.395832208364226</v>
      </c>
      <c r="L73" s="39">
        <f t="shared" si="41"/>
        <v>18.430352585724858</v>
      </c>
    </row>
    <row r="74" spans="1:12" x14ac:dyDescent="0.2">
      <c r="A74" t="str">
        <f t="shared" si="38"/>
        <v>35 Business and public service associate professionals</v>
      </c>
      <c r="B74" s="48">
        <f t="shared" si="39"/>
        <v>1.8183052452275916</v>
      </c>
      <c r="C74" s="43">
        <f t="shared" si="39"/>
        <v>4.4851058662549459</v>
      </c>
      <c r="D74" s="48">
        <f t="shared" si="39"/>
        <v>-0.47128457640419619</v>
      </c>
      <c r="E74" s="48">
        <f t="shared" si="39"/>
        <v>0.48881589173725981</v>
      </c>
      <c r="F74" s="43">
        <f t="shared" si="40"/>
        <v>0.16775772545101209</v>
      </c>
      <c r="H74" s="39">
        <f t="shared" si="41"/>
        <v>47.245634085455343</v>
      </c>
      <c r="I74" s="39">
        <f t="shared" si="41"/>
        <v>46.629538211528512</v>
      </c>
      <c r="J74" s="39">
        <f t="shared" si="41"/>
        <v>46.905317913117763</v>
      </c>
      <c r="K74" s="39">
        <f t="shared" si="41"/>
        <v>45.788427027151194</v>
      </c>
      <c r="L74" s="39">
        <f t="shared" si="41"/>
        <v>43.909088415198269</v>
      </c>
    </row>
    <row r="75" spans="1:12" x14ac:dyDescent="0.2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x14ac:dyDescent="0.2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-0.60420579517926898</v>
      </c>
      <c r="C76" s="43">
        <f t="shared" si="42"/>
        <v>3.905620649150543</v>
      </c>
      <c r="D76" s="43">
        <f t="shared" si="42"/>
        <v>-1.0265609561140199</v>
      </c>
      <c r="E76" s="43">
        <f t="shared" si="42"/>
        <v>-0.65995909745317771</v>
      </c>
      <c r="F76" s="43">
        <f>IF(AND(F$5-D$5 &lt;&gt; 0,F24 &lt;&gt; 0,D24 &lt;&gt; 0),(EXP(LN(F24/D24)/(F$5-D$5))-1)*100,0)</f>
        <v>-0.78231034793608822</v>
      </c>
      <c r="H76" s="43">
        <f>(B24/B$51)*100</f>
        <v>10.299623759661547</v>
      </c>
      <c r="I76" s="43">
        <f>(C24/C$51)*100</f>
        <v>9.5633671687216832</v>
      </c>
      <c r="J76" s="43">
        <f>(D24/D$51)*100</f>
        <v>10.047180709149764</v>
      </c>
      <c r="K76" s="43">
        <f>(E24/E$51)*100</f>
        <v>9.1393103413540473</v>
      </c>
      <c r="L76" s="43">
        <f>(F24/F$51)*100</f>
        <v>8.0747630556254268</v>
      </c>
    </row>
    <row r="77" spans="1:12" x14ac:dyDescent="0.2">
      <c r="A77" t="str">
        <f>A25</f>
        <v>41 Administrative occupations</v>
      </c>
      <c r="B77" s="48">
        <f t="shared" si="42"/>
        <v>-0.29018141797458874</v>
      </c>
      <c r="C77" s="43">
        <f t="shared" si="42"/>
        <v>5.399823311550378</v>
      </c>
      <c r="D77" s="48">
        <f t="shared" si="42"/>
        <v>-1.5526057865363319</v>
      </c>
      <c r="E77" s="48">
        <f t="shared" si="42"/>
        <v>-0.55954653685952316</v>
      </c>
      <c r="F77" s="43">
        <f>IF(AND(F$5-D$5 &lt;&gt; 0,F25 &lt;&gt; 0,D25 &lt;&gt; 0),(EXP(LN(F25/D25)/(F$5-D$5))-1)*100,0)</f>
        <v>-0.89167434760123454</v>
      </c>
      <c r="H77" s="39">
        <f t="shared" ref="H77:L78" si="43">(B25/B$24)*100</f>
        <v>79.472615483600649</v>
      </c>
      <c r="I77" s="39">
        <f t="shared" si="43"/>
        <v>80.481706708873403</v>
      </c>
      <c r="J77" s="39">
        <f t="shared" si="43"/>
        <v>81.639064508072153</v>
      </c>
      <c r="K77" s="39">
        <f t="shared" si="43"/>
        <v>79.49244247552717</v>
      </c>
      <c r="L77" s="39">
        <f t="shared" si="43"/>
        <v>80.299613948319532</v>
      </c>
    </row>
    <row r="78" spans="1:12" x14ac:dyDescent="0.2">
      <c r="A78" t="str">
        <f>A26</f>
        <v>42 Secretarial and related occupations</v>
      </c>
      <c r="B78" s="48">
        <f t="shared" si="42"/>
        <v>-1.8489242845973419</v>
      </c>
      <c r="C78" s="43">
        <f t="shared" si="42"/>
        <v>-2.255572783348514</v>
      </c>
      <c r="D78" s="48">
        <f t="shared" si="42"/>
        <v>1.1864798811773491</v>
      </c>
      <c r="E78" s="48">
        <f t="shared" si="42"/>
        <v>-1.0580616437845358</v>
      </c>
      <c r="F78" s="43">
        <f>IF(AND(F$5-D$5 &lt;&gt; 0,F26 &lt;&gt; 0,D26 &lt;&gt; 0),(EXP(LN(F26/D26)/(F$5-D$5))-1)*100,0)</f>
        <v>-0.31546849495365237</v>
      </c>
      <c r="H78" s="39">
        <f t="shared" si="43"/>
        <v>20.527384516399351</v>
      </c>
      <c r="I78" s="39">
        <f t="shared" si="43"/>
        <v>19.518293291126597</v>
      </c>
      <c r="J78" s="39">
        <f t="shared" si="43"/>
        <v>18.360935491927862</v>
      </c>
      <c r="K78" s="39">
        <f t="shared" si="43"/>
        <v>20.507557524472819</v>
      </c>
      <c r="L78" s="39">
        <f t="shared" si="43"/>
        <v>19.700386051680461</v>
      </c>
    </row>
    <row r="79" spans="1:12" x14ac:dyDescent="0.2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x14ac:dyDescent="0.2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-0.11766019279580986</v>
      </c>
      <c r="C80" s="43">
        <f t="shared" si="44"/>
        <v>-9.7979701231594714</v>
      </c>
      <c r="D80" s="43">
        <f t="shared" si="44"/>
        <v>0.60781093552555454</v>
      </c>
      <c r="E80" s="43">
        <f t="shared" si="44"/>
        <v>-2.2481524919004681E-2</v>
      </c>
      <c r="F80" s="43">
        <f>IF(AND(F$5-D$5 &lt;&gt; 0,F28 &lt;&gt; 0,D28 &lt;&gt; 0),(EXP(LN(F28/D28)/(F$5-D$5))-1)*100,0)</f>
        <v>0.18717599297484178</v>
      </c>
      <c r="H80" s="43">
        <f>(B28/B$51)*100</f>
        <v>11.780023561654176</v>
      </c>
      <c r="I80" s="43">
        <f>(C28/C$51)*100</f>
        <v>11.153686296713627</v>
      </c>
      <c r="J80" s="43">
        <f>(D28/D$51)*100</f>
        <v>10.172532337626931</v>
      </c>
      <c r="K80" s="43">
        <f>(E28/E$51)*100</f>
        <v>10.043000470031318</v>
      </c>
      <c r="L80" s="43">
        <f>(F28/F$51)*100</f>
        <v>9.4593224675292777</v>
      </c>
    </row>
    <row r="81" spans="1:12" x14ac:dyDescent="0.2">
      <c r="A81" t="str">
        <f>A29</f>
        <v>51 Skilled agricultural and related trades</v>
      </c>
      <c r="B81" s="48">
        <f t="shared" si="44"/>
        <v>-0.69999994424340128</v>
      </c>
      <c r="C81" s="43">
        <f t="shared" si="44"/>
        <v>8.6467638164184457</v>
      </c>
      <c r="D81" s="48">
        <f t="shared" si="44"/>
        <v>0.11376683633712581</v>
      </c>
      <c r="E81" s="48">
        <f t="shared" si="44"/>
        <v>0.85579386615208808</v>
      </c>
      <c r="F81" s="43">
        <f>IF(AND(F$5-D$5 &lt;&gt; 0,F29 &lt;&gt; 0,D29 &lt;&gt; 0),(EXP(LN(F29/D29)/(F$5-D$5))-1)*100,0)</f>
        <v>0.60784244009939314</v>
      </c>
      <c r="H81" s="39">
        <f t="shared" ref="H81:L84" si="45">(B29/B$28)*100</f>
        <v>12.373972927629314</v>
      </c>
      <c r="I81" s="39">
        <f t="shared" si="45"/>
        <v>12.087913032722538</v>
      </c>
      <c r="J81" s="39">
        <f t="shared" si="45"/>
        <v>14.5596793563601</v>
      </c>
      <c r="K81" s="39">
        <f t="shared" si="45"/>
        <v>14.205689708540426</v>
      </c>
      <c r="L81" s="39">
        <f t="shared" si="45"/>
        <v>15.504126964355541</v>
      </c>
    </row>
    <row r="82" spans="1:12" x14ac:dyDescent="0.2">
      <c r="A82" t="str">
        <f>A30</f>
        <v>52 Skilled metal, electrical and electronic trades</v>
      </c>
      <c r="B82" s="48">
        <f t="shared" si="44"/>
        <v>-0.47626895774336431</v>
      </c>
      <c r="C82" s="43">
        <f t="shared" si="44"/>
        <v>-10.324241939368727</v>
      </c>
      <c r="D82" s="48">
        <f t="shared" si="44"/>
        <v>-0.15135934144734353</v>
      </c>
      <c r="E82" s="48">
        <f t="shared" si="44"/>
        <v>-0.31548739369083867</v>
      </c>
      <c r="F82" s="43">
        <f>IF(AND(F$5-D$5 &lt;&gt; 0,F30 &lt;&gt; 0,D30 &lt;&gt; 0),(EXP(LN(F30/D30)/(F$5-D$5))-1)*100,0)</f>
        <v>-0.2608080413666114</v>
      </c>
      <c r="H82" s="39">
        <f t="shared" si="45"/>
        <v>36.085773264754003</v>
      </c>
      <c r="I82" s="39">
        <f t="shared" si="45"/>
        <v>35.570320796248872</v>
      </c>
      <c r="J82" s="39">
        <f t="shared" si="45"/>
        <v>35.362790462905515</v>
      </c>
      <c r="K82" s="39">
        <f t="shared" si="45"/>
        <v>34.048565054511272</v>
      </c>
      <c r="L82" s="39">
        <f t="shared" si="45"/>
        <v>33.063755558634462</v>
      </c>
    </row>
    <row r="83" spans="1:12" x14ac:dyDescent="0.2">
      <c r="A83" t="str">
        <f>A31</f>
        <v>53 Skilled construction and building trades</v>
      </c>
      <c r="B83" s="48">
        <f t="shared" si="44"/>
        <v>0.93347035241595488</v>
      </c>
      <c r="C83" s="43">
        <f t="shared" si="44"/>
        <v>-19.098581071758424</v>
      </c>
      <c r="D83" s="48">
        <f t="shared" si="44"/>
        <v>1.8296331672833954</v>
      </c>
      <c r="E83" s="48">
        <f t="shared" si="44"/>
        <v>6.5425675104746617E-2</v>
      </c>
      <c r="F83" s="43">
        <f>IF(AND(F$5-D$5 &lt;&gt; 0,F31 &lt;&gt; 0,D31 &lt;&gt; 0),(EXP(LN(F31/D31)/(F$5-D$5))-1)*100,0)</f>
        <v>0.6500723046203527</v>
      </c>
      <c r="H83" s="39">
        <f t="shared" si="45"/>
        <v>33.652248968876009</v>
      </c>
      <c r="I83" s="39">
        <f t="shared" si="45"/>
        <v>35.091350807873248</v>
      </c>
      <c r="J83" s="39">
        <f t="shared" si="45"/>
        <v>31.47312844668636</v>
      </c>
      <c r="K83" s="39">
        <f t="shared" si="45"/>
        <v>33.431226712560978</v>
      </c>
      <c r="L83" s="39">
        <f t="shared" si="45"/>
        <v>33.726343160272499</v>
      </c>
    </row>
    <row r="84" spans="1:12" x14ac:dyDescent="0.2">
      <c r="A84" t="str">
        <f>A32</f>
        <v>54 Textiles, printing and other skilled trades</v>
      </c>
      <c r="B84" s="48">
        <f t="shared" si="44"/>
        <v>-1.0198470281750582</v>
      </c>
      <c r="C84" s="43">
        <f t="shared" si="44"/>
        <v>-2.718006162352149</v>
      </c>
      <c r="D84" s="48">
        <f t="shared" si="44"/>
        <v>0.2923156712740127</v>
      </c>
      <c r="E84" s="48">
        <f t="shared" si="44"/>
        <v>-0.35986785362867035</v>
      </c>
      <c r="F84" s="43">
        <f>IF(AND(F$5-D$5 &lt;&gt; 0,F32 &lt;&gt; 0,D32 &lt;&gt; 0),(EXP(LN(F32/D32)/(F$5-D$5))-1)*100,0)</f>
        <v>-0.1429459386828924</v>
      </c>
      <c r="H84" s="39">
        <f t="shared" si="45"/>
        <v>17.888004838740663</v>
      </c>
      <c r="I84" s="39">
        <f t="shared" si="45"/>
        <v>17.250415363155348</v>
      </c>
      <c r="J84" s="39">
        <f t="shared" si="45"/>
        <v>18.604401734048029</v>
      </c>
      <c r="K84" s="39">
        <f t="shared" si="45"/>
        <v>18.314518524387317</v>
      </c>
      <c r="L84" s="39">
        <f t="shared" si="45"/>
        <v>17.705774316737504</v>
      </c>
    </row>
    <row r="85" spans="1:12" x14ac:dyDescent="0.2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x14ac:dyDescent="0.2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0.37435763564124258</v>
      </c>
      <c r="C86" s="43">
        <f t="shared" si="46"/>
        <v>-5.8937329890075496</v>
      </c>
      <c r="D86" s="43">
        <f t="shared" si="46"/>
        <v>1.8374004577874192</v>
      </c>
      <c r="E86" s="43">
        <f t="shared" si="46"/>
        <v>1.0247223311724785</v>
      </c>
      <c r="F86" s="43">
        <f>IF(AND(F$5-D$5 &lt;&gt; 0,F34 &lt;&gt; 0,D34 &lt;&gt; 0),(EXP(LN(F34/D34)/(F$5-D$5))-1)*100,0)</f>
        <v>1.2948918838459944</v>
      </c>
      <c r="H86" s="43">
        <f>(B34/B$51)*100</f>
        <v>10.294036303503209</v>
      </c>
      <c r="I86" s="43">
        <f>(C34/C$51)*100</f>
        <v>9.9401799834343372</v>
      </c>
      <c r="J86" s="43">
        <f>(D34/D$51)*100</f>
        <v>9.4581704640653079</v>
      </c>
      <c r="K86" s="43">
        <f>(E34/E$51)*100</f>
        <v>9.9224648068990113</v>
      </c>
      <c r="L86" s="43">
        <f>(F34/F$51)*100</f>
        <v>10.372160762245732</v>
      </c>
    </row>
    <row r="87" spans="1:12" x14ac:dyDescent="0.2">
      <c r="A87" t="str">
        <f>A35</f>
        <v>61 Caring personal service occupations</v>
      </c>
      <c r="B87" s="48">
        <f t="shared" si="46"/>
        <v>-0.28017878074924063</v>
      </c>
      <c r="C87" s="43">
        <f t="shared" si="46"/>
        <v>-4.5007600704070505</v>
      </c>
      <c r="D87" s="48">
        <f t="shared" si="46"/>
        <v>1.9445879364306862</v>
      </c>
      <c r="E87" s="48">
        <f t="shared" si="46"/>
        <v>1.0538761021595899</v>
      </c>
      <c r="F87" s="43">
        <f>IF(AND(F$5-D$5 &lt;&gt; 0,F35 &lt;&gt; 0,D35 &lt;&gt; 0),(EXP(LN(F35/D35)/(F$5-D$5))-1)*100,0)</f>
        <v>1.3499119672925275</v>
      </c>
      <c r="H87" s="39">
        <f t="shared" ref="H87:L89" si="47">(B35/B$34)*100</f>
        <v>78.03263441838007</v>
      </c>
      <c r="I87" s="39">
        <f t="shared" si="47"/>
        <v>76.017068611767684</v>
      </c>
      <c r="J87" s="39">
        <f t="shared" si="47"/>
        <v>77.14228291779493</v>
      </c>
      <c r="K87" s="39">
        <f t="shared" si="47"/>
        <v>77.549113378335875</v>
      </c>
      <c r="L87" s="39">
        <f t="shared" si="47"/>
        <v>77.773195886745455</v>
      </c>
    </row>
    <row r="88" spans="1:12" x14ac:dyDescent="0.2">
      <c r="A88" t="str">
        <f>A36</f>
        <v>62 Leisure, travel and related personal service occupations</v>
      </c>
      <c r="B88" s="48">
        <f t="shared" si="46"/>
        <v>2.8477329990289846</v>
      </c>
      <c r="C88" s="43">
        <f t="shared" si="46"/>
        <v>-11.598889581901005</v>
      </c>
      <c r="D88" s="48">
        <f t="shared" si="46"/>
        <v>1.7196700039365576</v>
      </c>
      <c r="E88" s="48">
        <f t="shared" si="46"/>
        <v>0.93514436083668162</v>
      </c>
      <c r="F88" s="43">
        <f>IF(AND(F$5-D$5 &lt;&gt; 0,F36 &lt;&gt; 0,D36 &lt;&gt; 0),(EXP(LN(F36/D36)/(F$5-D$5))-1)*100,0)</f>
        <v>1.1959782877981162</v>
      </c>
      <c r="H88" s="39">
        <f t="shared" si="47"/>
        <v>21.169921798687948</v>
      </c>
      <c r="I88" s="39">
        <f t="shared" si="47"/>
        <v>23.334958405777044</v>
      </c>
      <c r="J88" s="39">
        <f t="shared" si="47"/>
        <v>21.920285440606058</v>
      </c>
      <c r="K88" s="39">
        <f t="shared" si="47"/>
        <v>21.793871904587945</v>
      </c>
      <c r="L88" s="39">
        <f t="shared" si="47"/>
        <v>21.601396296687533</v>
      </c>
    </row>
    <row r="89" spans="1:12" x14ac:dyDescent="0.2">
      <c r="A89" t="str">
        <f>A37</f>
        <v>63 Community and civil enforcement occupations</v>
      </c>
      <c r="B89" s="48">
        <f t="shared" si="46"/>
        <v>-4.7012982403349728</v>
      </c>
      <c r="C89" s="43">
        <f t="shared" si="46"/>
        <v>36.144862143166009</v>
      </c>
      <c r="D89" s="48">
        <f t="shared" si="46"/>
        <v>-5.1506404617325474</v>
      </c>
      <c r="E89" s="48">
        <f t="shared" si="46"/>
        <v>0.52787125026942938</v>
      </c>
      <c r="F89" s="43">
        <f>IF(AND(F$5-D$5 &lt;&gt; 0,F37 &lt;&gt; 0,D37 &lt;&gt; 0),(EXP(LN(F37/D37)/(F$5-D$5))-1)*100,0)</f>
        <v>-1.4017685717510719</v>
      </c>
      <c r="H89" s="39">
        <f t="shared" si="47"/>
        <v>0.79744378293196905</v>
      </c>
      <c r="I89" s="39">
        <f t="shared" si="47"/>
        <v>0.64797298245528101</v>
      </c>
      <c r="J89" s="39">
        <f t="shared" si="47"/>
        <v>0.93743164159902015</v>
      </c>
      <c r="K89" s="39">
        <f t="shared" si="47"/>
        <v>0.65701471707618331</v>
      </c>
      <c r="L89" s="39">
        <f t="shared" si="47"/>
        <v>0.62540781656701827</v>
      </c>
    </row>
    <row r="90" spans="1:12" x14ac:dyDescent="0.2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x14ac:dyDescent="0.2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-0.54310865060339664</v>
      </c>
      <c r="C91" s="43">
        <f t="shared" si="48"/>
        <v>0.84503869515044627</v>
      </c>
      <c r="D91" s="43">
        <f t="shared" si="48"/>
        <v>0.15035661073716788</v>
      </c>
      <c r="E91" s="43">
        <f t="shared" si="48"/>
        <v>-3.5027378422602951E-2</v>
      </c>
      <c r="F91" s="43">
        <f t="shared" ref="F91:F103" si="49">IF(AND(F$5-D$5 &lt;&gt; 0,F39 &lt;&gt; 0,D39 &lt;&gt; 0),(EXP(LN(F39/D39)/(F$5-D$5))-1)*100,0)</f>
        <v>2.672912475363276E-2</v>
      </c>
      <c r="H91" s="43">
        <f>(B39/B$51)*100</f>
        <v>9.1147552711457216</v>
      </c>
      <c r="I91" s="43">
        <f>(C39/C$51)*100</f>
        <v>8.4840256326720951</v>
      </c>
      <c r="J91" s="43">
        <f>(D39/D$51)*100</f>
        <v>8.6506920392037099</v>
      </c>
      <c r="K91" s="43">
        <f>(E39/E$51)*100</f>
        <v>8.3481310486712683</v>
      </c>
      <c r="L91" s="43">
        <f>(F39/F$51)*100</f>
        <v>7.8530938849276799</v>
      </c>
    </row>
    <row r="92" spans="1:12" s="29" customFormat="1" x14ac:dyDescent="0.2">
      <c r="A92" s="10" t="str">
        <f>A40</f>
        <v>71 Sales occupations</v>
      </c>
      <c r="B92" s="48">
        <f t="shared" si="48"/>
        <v>-1.141319952994313</v>
      </c>
      <c r="C92" s="43">
        <f t="shared" si="48"/>
        <v>1.986319273949988E-2</v>
      </c>
      <c r="D92" s="48">
        <f t="shared" si="48"/>
        <v>-1.2126256394695445</v>
      </c>
      <c r="E92" s="48">
        <f t="shared" si="48"/>
        <v>-0.53134517931673342</v>
      </c>
      <c r="F92" s="43">
        <f t="shared" si="49"/>
        <v>-0.75895911730006205</v>
      </c>
      <c r="G92"/>
      <c r="H92" s="39">
        <f t="shared" ref="H92:L93" si="50">(B40/B$34)*100</f>
        <v>74.236877199873007</v>
      </c>
      <c r="I92" s="39">
        <f t="shared" si="50"/>
        <v>69.853441741287526</v>
      </c>
      <c r="J92" s="39">
        <f t="shared" si="50"/>
        <v>74.243001113724617</v>
      </c>
      <c r="K92" s="39">
        <f t="shared" si="50"/>
        <v>63.771437680071017</v>
      </c>
      <c r="L92" s="39">
        <f t="shared" si="50"/>
        <v>54.602433778215953</v>
      </c>
    </row>
    <row r="93" spans="1:12" s="29" customFormat="1" x14ac:dyDescent="0.2">
      <c r="A93" t="str">
        <f>A41</f>
        <v>72 Customer service occupations</v>
      </c>
      <c r="B93" s="48">
        <f t="shared" si="48"/>
        <v>2.3997789627163701</v>
      </c>
      <c r="C93" s="43">
        <f t="shared" si="48"/>
        <v>4.5644632931846507</v>
      </c>
      <c r="D93" s="48">
        <f t="shared" si="48"/>
        <v>5.3094818056524939</v>
      </c>
      <c r="E93" s="48">
        <f t="shared" si="48"/>
        <v>1.3901035849408938</v>
      </c>
      <c r="F93" s="43">
        <f t="shared" si="49"/>
        <v>2.680081115174815</v>
      </c>
      <c r="G93"/>
      <c r="H93" s="39">
        <f t="shared" si="50"/>
        <v>14.307159389971158</v>
      </c>
      <c r="I93" s="39">
        <f t="shared" si="50"/>
        <v>15.497383362594144</v>
      </c>
      <c r="J93" s="39">
        <f t="shared" si="50"/>
        <v>17.219635049056826</v>
      </c>
      <c r="K93" s="39">
        <f t="shared" si="50"/>
        <v>20.362204626897697</v>
      </c>
      <c r="L93" s="39">
        <f t="shared" si="50"/>
        <v>21.110757184969277</v>
      </c>
    </row>
    <row r="94" spans="1:12" x14ac:dyDescent="0.2">
      <c r="C94" s="43"/>
      <c r="F94" s="43"/>
    </row>
    <row r="95" spans="1:12" s="29" customFormat="1" x14ac:dyDescent="0.2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0.44404249463085854</v>
      </c>
      <c r="C95" s="43">
        <f t="shared" si="51"/>
        <v>-10.850314763142709</v>
      </c>
      <c r="D95" s="43">
        <f t="shared" si="51"/>
        <v>2.4856617940012926</v>
      </c>
      <c r="E95" s="43">
        <f t="shared" si="51"/>
        <v>0.11339174503333105</v>
      </c>
      <c r="F95" s="43">
        <f t="shared" si="49"/>
        <v>0.89798349522764997</v>
      </c>
      <c r="H95" s="43">
        <f>(B43/B$51)*100</f>
        <v>5.6603218492350837</v>
      </c>
      <c r="I95" s="43">
        <f>(C43/C$51)*100</f>
        <v>5.480943123359614</v>
      </c>
      <c r="J95" s="43">
        <f>(D43/D$51)*100</f>
        <v>4.9404834882593169</v>
      </c>
      <c r="K95" s="43">
        <f>(E43/E$51)*100</f>
        <v>5.350087781243678</v>
      </c>
      <c r="L95" s="43">
        <f>(F43/F$51)*100</f>
        <v>5.1080563138842257</v>
      </c>
    </row>
    <row r="96" spans="1:12" x14ac:dyDescent="0.2">
      <c r="A96" t="str">
        <f>A44</f>
        <v>81 Process, plant and machine operatives</v>
      </c>
      <c r="B96" s="48">
        <f t="shared" si="51"/>
        <v>-0.9820775267963211</v>
      </c>
      <c r="C96" s="43">
        <f t="shared" si="51"/>
        <v>-11.881478179156568</v>
      </c>
      <c r="D96" s="48">
        <f t="shared" si="51"/>
        <v>3.9021057701553952</v>
      </c>
      <c r="E96" s="48">
        <f t="shared" si="51"/>
        <v>-5.5246126759445069E-2</v>
      </c>
      <c r="F96" s="43">
        <f t="shared" si="49"/>
        <v>1.2468340069772266</v>
      </c>
      <c r="H96" s="39">
        <f t="shared" ref="H96:L97" si="52">(B44/B$43)*100</f>
        <v>46.31999604348804</v>
      </c>
      <c r="I96" s="39">
        <f t="shared" si="52"/>
        <v>43.744859022301178</v>
      </c>
      <c r="J96" s="39">
        <f t="shared" si="52"/>
        <v>43.238877446004693</v>
      </c>
      <c r="K96" s="39">
        <f t="shared" si="52"/>
        <v>46.310621370231452</v>
      </c>
      <c r="L96" s="39">
        <f t="shared" si="52"/>
        <v>45.53642013073263</v>
      </c>
    </row>
    <row r="97" spans="1:12" x14ac:dyDescent="0.2">
      <c r="A97" t="str">
        <f>A45</f>
        <v>82 Transport and mobile machine drivers and operatives</v>
      </c>
      <c r="B97" s="48">
        <f t="shared" si="51"/>
        <v>1.6275843456168504</v>
      </c>
      <c r="C97" s="43">
        <f t="shared" si="51"/>
        <v>-10.04846630132189</v>
      </c>
      <c r="D97" s="48">
        <f t="shared" si="51"/>
        <v>1.3515955974133353</v>
      </c>
      <c r="E97" s="48">
        <f t="shared" si="51"/>
        <v>0.25682702148221992</v>
      </c>
      <c r="F97" s="43">
        <f t="shared" si="49"/>
        <v>0.62042960431503147</v>
      </c>
      <c r="H97" s="39">
        <f t="shared" si="52"/>
        <v>53.680003956511946</v>
      </c>
      <c r="I97" s="39">
        <f t="shared" si="52"/>
        <v>56.255140977698822</v>
      </c>
      <c r="J97" s="39">
        <f t="shared" si="52"/>
        <v>56.761122553995314</v>
      </c>
      <c r="K97" s="39">
        <f t="shared" si="52"/>
        <v>53.689378629768555</v>
      </c>
      <c r="L97" s="39">
        <f t="shared" si="52"/>
        <v>54.463579869267377</v>
      </c>
    </row>
    <row r="98" spans="1:12" x14ac:dyDescent="0.2">
      <c r="C98" s="43"/>
      <c r="F98" s="43"/>
    </row>
    <row r="99" spans="1:12" s="29" customFormat="1" x14ac:dyDescent="0.2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-0.13367874008459735</v>
      </c>
      <c r="C99" s="43">
        <f t="shared" si="53"/>
        <v>-6.7727842855418334</v>
      </c>
      <c r="D99" s="43">
        <f t="shared" si="53"/>
        <v>0.70515876388619336</v>
      </c>
      <c r="E99" s="43">
        <f t="shared" si="53"/>
        <v>-0.23162245874488452</v>
      </c>
      <c r="F99" s="43">
        <f t="shared" si="49"/>
        <v>7.9665685931273877E-2</v>
      </c>
      <c r="H99" s="43">
        <f>(B47/B$51)*100</f>
        <v>11.339404126111509</v>
      </c>
      <c r="I99" s="43">
        <f>(C47/C$51)*100</f>
        <v>10.729608581361742</v>
      </c>
      <c r="J99" s="43">
        <f>(D47/D$51)*100</f>
        <v>10.113953107226092</v>
      </c>
      <c r="K99" s="43">
        <f>(E47/E$51)*100</f>
        <v>10.033568828935726</v>
      </c>
      <c r="L99" s="43">
        <f>(F47/F$51)*100</f>
        <v>9.2545977865837923</v>
      </c>
    </row>
    <row r="100" spans="1:12" x14ac:dyDescent="0.2">
      <c r="A100" t="str">
        <f>A48</f>
        <v>91 Elementary trades and related occupations</v>
      </c>
      <c r="B100" s="48">
        <f t="shared" si="53"/>
        <v>-2.9526598521600667</v>
      </c>
      <c r="C100" s="43">
        <f t="shared" si="53"/>
        <v>-10.085402474737315</v>
      </c>
      <c r="D100" s="48">
        <f t="shared" si="53"/>
        <v>-2.3871017748286816</v>
      </c>
      <c r="E100" s="48">
        <f t="shared" si="53"/>
        <v>-6.1235322223740507E-2</v>
      </c>
      <c r="F100" s="43">
        <f t="shared" si="49"/>
        <v>-0.84261754039369752</v>
      </c>
      <c r="H100" s="39">
        <f t="shared" ref="H100:L101" si="54">(B48/B$47)*100</f>
        <v>16.154916005187214</v>
      </c>
      <c r="I100" s="39">
        <f t="shared" si="54"/>
        <v>14.406651240408008</v>
      </c>
      <c r="J100" s="39">
        <f t="shared" si="54"/>
        <v>13.894743482800589</v>
      </c>
      <c r="K100" s="39">
        <f t="shared" si="54"/>
        <v>11.888525102927018</v>
      </c>
      <c r="L100" s="39">
        <f t="shared" si="54"/>
        <v>12.09312805362428</v>
      </c>
    </row>
    <row r="101" spans="1:12" x14ac:dyDescent="0.2">
      <c r="A101" t="str">
        <f>A49</f>
        <v>92 Elementary administration and service occupations</v>
      </c>
      <c r="B101" s="48">
        <f t="shared" si="53"/>
        <v>0.38288097216609973</v>
      </c>
      <c r="C101" s="43">
        <f t="shared" si="53"/>
        <v>-6.2152206940247705</v>
      </c>
      <c r="D101" s="48">
        <f t="shared" si="53"/>
        <v>1.1701233927950527</v>
      </c>
      <c r="E101" s="48">
        <f t="shared" si="53"/>
        <v>-0.25481383780927569</v>
      </c>
      <c r="F101" s="43">
        <f t="shared" si="49"/>
        <v>0.2179212062018987</v>
      </c>
      <c r="H101" s="39">
        <f t="shared" si="54"/>
        <v>83.845083994812768</v>
      </c>
      <c r="I101" s="39">
        <f t="shared" si="54"/>
        <v>85.593348759591976</v>
      </c>
      <c r="J101" s="39">
        <f t="shared" si="54"/>
        <v>86.105256517199408</v>
      </c>
      <c r="K101" s="39">
        <f t="shared" si="54"/>
        <v>88.111474897072981</v>
      </c>
      <c r="L101" s="39">
        <f t="shared" si="54"/>
        <v>87.90687194637573</v>
      </c>
    </row>
    <row r="102" spans="1:12" x14ac:dyDescent="0.2">
      <c r="A102" s="13"/>
      <c r="C102" s="43"/>
      <c r="F102" s="43"/>
    </row>
    <row r="103" spans="1:12" x14ac:dyDescent="0.2">
      <c r="A103" s="38" t="str">
        <f t="shared" ref="A103" si="55">A51</f>
        <v>All occupations</v>
      </c>
      <c r="B103" s="49">
        <f>IF(AND(C$5-B$5 &lt;&gt; 0,C51 &lt;&gt; 0,B51 &lt;&gt; 0),(EXP(LN(C51/B51)/(C$5-B$5))-1)*100,0)</f>
        <v>1.2559705559315626</v>
      </c>
      <c r="C103" s="206">
        <f t="shared" ref="C103" si="56">IF(AND(D$5-C$5 &lt;&gt; 0,D51 &lt;&gt; 0,C51 &lt;&gt; 0),(EXP(LN(D51/C51)/(D$5-C$5))-1)*100,0)</f>
        <v>-1.0978671602069445</v>
      </c>
      <c r="D103" s="49">
        <f>IF(AND(E$5-D$5 &lt;&gt; 0,E51 &lt;&gt; 0,D51 &lt;&gt; 0),(EXP(LN(E51/D51)/(E$5-D$5))-1)*100,0)</f>
        <v>0.86600469906554789</v>
      </c>
      <c r="E103" s="49">
        <f>IF(AND(F$5-E$5 &lt;&gt; 0,F51 &lt;&gt; 0,E51 &lt;&gt; 0),(EXP(LN(F51/E51)/(F$5-E$5))-1)*100,0)</f>
        <v>0.57793117804305627</v>
      </c>
      <c r="F103" s="206">
        <f t="shared" si="49"/>
        <v>0.6738641534223655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75" x14ac:dyDescent="0.2"/>
  <cols>
    <col min="1" max="1" width="35.5703125" style="90" customWidth="1"/>
    <col min="2" max="4" width="5.7109375" style="90" bestFit="1" customWidth="1"/>
    <col min="5" max="5" width="5" style="90" customWidth="1"/>
    <col min="6" max="8" width="5.7109375" style="90" bestFit="1" customWidth="1"/>
    <col min="9" max="9" width="5" style="90" customWidth="1"/>
    <col min="10" max="12" width="5.7109375" style="90" bestFit="1" customWidth="1"/>
    <col min="13" max="13" width="5" style="90" customWidth="1"/>
    <col min="14" max="14" width="8.85546875" style="90" customWidth="1"/>
    <col min="15" max="15" width="7.140625" style="90" customWidth="1"/>
    <col min="16" max="16" width="2.85546875" style="90" customWidth="1"/>
    <col min="17" max="17" width="7.42578125" style="90" customWidth="1"/>
    <col min="18" max="18" width="7.28515625" style="90" customWidth="1"/>
    <col min="19" max="19" width="2.7109375" style="90" customWidth="1"/>
    <col min="20" max="20" width="8.140625" style="90" customWidth="1"/>
    <col min="21" max="21" width="7.42578125" style="90" customWidth="1"/>
    <col min="22" max="254" width="9.140625" style="90"/>
    <col min="255" max="255" width="33.140625" style="90" bestFit="1" customWidth="1"/>
    <col min="256" max="258" width="7.140625" style="90" customWidth="1"/>
    <col min="259" max="259" width="5" style="90" customWidth="1"/>
    <col min="260" max="262" width="7.140625" style="90" customWidth="1"/>
    <col min="263" max="263" width="5" style="90" customWidth="1"/>
    <col min="264" max="266" width="7.140625" style="90" customWidth="1"/>
    <col min="267" max="510" width="9.140625" style="90"/>
    <col min="511" max="511" width="33.140625" style="90" bestFit="1" customWidth="1"/>
    <col min="512" max="514" width="7.140625" style="90" customWidth="1"/>
    <col min="515" max="515" width="5" style="90" customWidth="1"/>
    <col min="516" max="518" width="7.140625" style="90" customWidth="1"/>
    <col min="519" max="519" width="5" style="90" customWidth="1"/>
    <col min="520" max="522" width="7.140625" style="90" customWidth="1"/>
    <col min="523" max="766" width="9.140625" style="90"/>
    <col min="767" max="767" width="33.140625" style="90" bestFit="1" customWidth="1"/>
    <col min="768" max="770" width="7.140625" style="90" customWidth="1"/>
    <col min="771" max="771" width="5" style="90" customWidth="1"/>
    <col min="772" max="774" width="7.140625" style="90" customWidth="1"/>
    <col min="775" max="775" width="5" style="90" customWidth="1"/>
    <col min="776" max="778" width="7.140625" style="90" customWidth="1"/>
    <col min="779" max="1022" width="9.140625" style="90"/>
    <col min="1023" max="1023" width="33.140625" style="90" bestFit="1" customWidth="1"/>
    <col min="1024" max="1026" width="7.140625" style="90" customWidth="1"/>
    <col min="1027" max="1027" width="5" style="90" customWidth="1"/>
    <col min="1028" max="1030" width="7.140625" style="90" customWidth="1"/>
    <col min="1031" max="1031" width="5" style="90" customWidth="1"/>
    <col min="1032" max="1034" width="7.140625" style="90" customWidth="1"/>
    <col min="1035" max="1278" width="9.140625" style="90"/>
    <col min="1279" max="1279" width="33.140625" style="90" bestFit="1" customWidth="1"/>
    <col min="1280" max="1282" width="7.140625" style="90" customWidth="1"/>
    <col min="1283" max="1283" width="5" style="90" customWidth="1"/>
    <col min="1284" max="1286" width="7.140625" style="90" customWidth="1"/>
    <col min="1287" max="1287" width="5" style="90" customWidth="1"/>
    <col min="1288" max="1290" width="7.140625" style="90" customWidth="1"/>
    <col min="1291" max="1534" width="9.140625" style="90"/>
    <col min="1535" max="1535" width="33.140625" style="90" bestFit="1" customWidth="1"/>
    <col min="1536" max="1538" width="7.140625" style="90" customWidth="1"/>
    <col min="1539" max="1539" width="5" style="90" customWidth="1"/>
    <col min="1540" max="1542" width="7.140625" style="90" customWidth="1"/>
    <col min="1543" max="1543" width="5" style="90" customWidth="1"/>
    <col min="1544" max="1546" width="7.140625" style="90" customWidth="1"/>
    <col min="1547" max="1790" width="9.140625" style="90"/>
    <col min="1791" max="1791" width="33.140625" style="90" bestFit="1" customWidth="1"/>
    <col min="1792" max="1794" width="7.140625" style="90" customWidth="1"/>
    <col min="1795" max="1795" width="5" style="90" customWidth="1"/>
    <col min="1796" max="1798" width="7.140625" style="90" customWidth="1"/>
    <col min="1799" max="1799" width="5" style="90" customWidth="1"/>
    <col min="1800" max="1802" width="7.140625" style="90" customWidth="1"/>
    <col min="1803" max="2046" width="9.140625" style="90"/>
    <col min="2047" max="2047" width="33.140625" style="90" bestFit="1" customWidth="1"/>
    <col min="2048" max="2050" width="7.140625" style="90" customWidth="1"/>
    <col min="2051" max="2051" width="5" style="90" customWidth="1"/>
    <col min="2052" max="2054" width="7.140625" style="90" customWidth="1"/>
    <col min="2055" max="2055" width="5" style="90" customWidth="1"/>
    <col min="2056" max="2058" width="7.140625" style="90" customWidth="1"/>
    <col min="2059" max="2302" width="9.140625" style="90"/>
    <col min="2303" max="2303" width="33.140625" style="90" bestFit="1" customWidth="1"/>
    <col min="2304" max="2306" width="7.140625" style="90" customWidth="1"/>
    <col min="2307" max="2307" width="5" style="90" customWidth="1"/>
    <col min="2308" max="2310" width="7.140625" style="90" customWidth="1"/>
    <col min="2311" max="2311" width="5" style="90" customWidth="1"/>
    <col min="2312" max="2314" width="7.140625" style="90" customWidth="1"/>
    <col min="2315" max="2558" width="9.140625" style="90"/>
    <col min="2559" max="2559" width="33.140625" style="90" bestFit="1" customWidth="1"/>
    <col min="2560" max="2562" width="7.140625" style="90" customWidth="1"/>
    <col min="2563" max="2563" width="5" style="90" customWidth="1"/>
    <col min="2564" max="2566" width="7.140625" style="90" customWidth="1"/>
    <col min="2567" max="2567" width="5" style="90" customWidth="1"/>
    <col min="2568" max="2570" width="7.140625" style="90" customWidth="1"/>
    <col min="2571" max="2814" width="9.140625" style="90"/>
    <col min="2815" max="2815" width="33.140625" style="90" bestFit="1" customWidth="1"/>
    <col min="2816" max="2818" width="7.140625" style="90" customWidth="1"/>
    <col min="2819" max="2819" width="5" style="90" customWidth="1"/>
    <col min="2820" max="2822" width="7.140625" style="90" customWidth="1"/>
    <col min="2823" max="2823" width="5" style="90" customWidth="1"/>
    <col min="2824" max="2826" width="7.140625" style="90" customWidth="1"/>
    <col min="2827" max="3070" width="9.140625" style="90"/>
    <col min="3071" max="3071" width="33.140625" style="90" bestFit="1" customWidth="1"/>
    <col min="3072" max="3074" width="7.140625" style="90" customWidth="1"/>
    <col min="3075" max="3075" width="5" style="90" customWidth="1"/>
    <col min="3076" max="3078" width="7.140625" style="90" customWidth="1"/>
    <col min="3079" max="3079" width="5" style="90" customWidth="1"/>
    <col min="3080" max="3082" width="7.140625" style="90" customWidth="1"/>
    <col min="3083" max="3326" width="9.140625" style="90"/>
    <col min="3327" max="3327" width="33.140625" style="90" bestFit="1" customWidth="1"/>
    <col min="3328" max="3330" width="7.140625" style="90" customWidth="1"/>
    <col min="3331" max="3331" width="5" style="90" customWidth="1"/>
    <col min="3332" max="3334" width="7.140625" style="90" customWidth="1"/>
    <col min="3335" max="3335" width="5" style="90" customWidth="1"/>
    <col min="3336" max="3338" width="7.140625" style="90" customWidth="1"/>
    <col min="3339" max="3582" width="9.140625" style="90"/>
    <col min="3583" max="3583" width="33.140625" style="90" bestFit="1" customWidth="1"/>
    <col min="3584" max="3586" width="7.140625" style="90" customWidth="1"/>
    <col min="3587" max="3587" width="5" style="90" customWidth="1"/>
    <col min="3588" max="3590" width="7.140625" style="90" customWidth="1"/>
    <col min="3591" max="3591" width="5" style="90" customWidth="1"/>
    <col min="3592" max="3594" width="7.140625" style="90" customWidth="1"/>
    <col min="3595" max="3838" width="9.140625" style="90"/>
    <col min="3839" max="3839" width="33.140625" style="90" bestFit="1" customWidth="1"/>
    <col min="3840" max="3842" width="7.140625" style="90" customWidth="1"/>
    <col min="3843" max="3843" width="5" style="90" customWidth="1"/>
    <col min="3844" max="3846" width="7.140625" style="90" customWidth="1"/>
    <col min="3847" max="3847" width="5" style="90" customWidth="1"/>
    <col min="3848" max="3850" width="7.140625" style="90" customWidth="1"/>
    <col min="3851" max="4094" width="9.140625" style="90"/>
    <col min="4095" max="4095" width="33.140625" style="90" bestFit="1" customWidth="1"/>
    <col min="4096" max="4098" width="7.140625" style="90" customWidth="1"/>
    <col min="4099" max="4099" width="5" style="90" customWidth="1"/>
    <col min="4100" max="4102" width="7.140625" style="90" customWidth="1"/>
    <col min="4103" max="4103" width="5" style="90" customWidth="1"/>
    <col min="4104" max="4106" width="7.140625" style="90" customWidth="1"/>
    <col min="4107" max="4350" width="9.140625" style="90"/>
    <col min="4351" max="4351" width="33.140625" style="90" bestFit="1" customWidth="1"/>
    <col min="4352" max="4354" width="7.140625" style="90" customWidth="1"/>
    <col min="4355" max="4355" width="5" style="90" customWidth="1"/>
    <col min="4356" max="4358" width="7.140625" style="90" customWidth="1"/>
    <col min="4359" max="4359" width="5" style="90" customWidth="1"/>
    <col min="4360" max="4362" width="7.140625" style="90" customWidth="1"/>
    <col min="4363" max="4606" width="9.140625" style="90"/>
    <col min="4607" max="4607" width="33.140625" style="90" bestFit="1" customWidth="1"/>
    <col min="4608" max="4610" width="7.140625" style="90" customWidth="1"/>
    <col min="4611" max="4611" width="5" style="90" customWidth="1"/>
    <col min="4612" max="4614" width="7.140625" style="90" customWidth="1"/>
    <col min="4615" max="4615" width="5" style="90" customWidth="1"/>
    <col min="4616" max="4618" width="7.140625" style="90" customWidth="1"/>
    <col min="4619" max="4862" width="9.140625" style="90"/>
    <col min="4863" max="4863" width="33.140625" style="90" bestFit="1" customWidth="1"/>
    <col min="4864" max="4866" width="7.140625" style="90" customWidth="1"/>
    <col min="4867" max="4867" width="5" style="90" customWidth="1"/>
    <col min="4868" max="4870" width="7.140625" style="90" customWidth="1"/>
    <col min="4871" max="4871" width="5" style="90" customWidth="1"/>
    <col min="4872" max="4874" width="7.140625" style="90" customWidth="1"/>
    <col min="4875" max="5118" width="9.140625" style="90"/>
    <col min="5119" max="5119" width="33.140625" style="90" bestFit="1" customWidth="1"/>
    <col min="5120" max="5122" width="7.140625" style="90" customWidth="1"/>
    <col min="5123" max="5123" width="5" style="90" customWidth="1"/>
    <col min="5124" max="5126" width="7.140625" style="90" customWidth="1"/>
    <col min="5127" max="5127" width="5" style="90" customWidth="1"/>
    <col min="5128" max="5130" width="7.140625" style="90" customWidth="1"/>
    <col min="5131" max="5374" width="9.140625" style="90"/>
    <col min="5375" max="5375" width="33.140625" style="90" bestFit="1" customWidth="1"/>
    <col min="5376" max="5378" width="7.140625" style="90" customWidth="1"/>
    <col min="5379" max="5379" width="5" style="90" customWidth="1"/>
    <col min="5380" max="5382" width="7.140625" style="90" customWidth="1"/>
    <col min="5383" max="5383" width="5" style="90" customWidth="1"/>
    <col min="5384" max="5386" width="7.140625" style="90" customWidth="1"/>
    <col min="5387" max="5630" width="9.140625" style="90"/>
    <col min="5631" max="5631" width="33.140625" style="90" bestFit="1" customWidth="1"/>
    <col min="5632" max="5634" width="7.140625" style="90" customWidth="1"/>
    <col min="5635" max="5635" width="5" style="90" customWidth="1"/>
    <col min="5636" max="5638" width="7.140625" style="90" customWidth="1"/>
    <col min="5639" max="5639" width="5" style="90" customWidth="1"/>
    <col min="5640" max="5642" width="7.140625" style="90" customWidth="1"/>
    <col min="5643" max="5886" width="9.140625" style="90"/>
    <col min="5887" max="5887" width="33.140625" style="90" bestFit="1" customWidth="1"/>
    <col min="5888" max="5890" width="7.140625" style="90" customWidth="1"/>
    <col min="5891" max="5891" width="5" style="90" customWidth="1"/>
    <col min="5892" max="5894" width="7.140625" style="90" customWidth="1"/>
    <col min="5895" max="5895" width="5" style="90" customWidth="1"/>
    <col min="5896" max="5898" width="7.140625" style="90" customWidth="1"/>
    <col min="5899" max="6142" width="9.140625" style="90"/>
    <col min="6143" max="6143" width="33.140625" style="90" bestFit="1" customWidth="1"/>
    <col min="6144" max="6146" width="7.140625" style="90" customWidth="1"/>
    <col min="6147" max="6147" width="5" style="90" customWidth="1"/>
    <col min="6148" max="6150" width="7.140625" style="90" customWidth="1"/>
    <col min="6151" max="6151" width="5" style="90" customWidth="1"/>
    <col min="6152" max="6154" width="7.140625" style="90" customWidth="1"/>
    <col min="6155" max="6398" width="9.140625" style="90"/>
    <col min="6399" max="6399" width="33.140625" style="90" bestFit="1" customWidth="1"/>
    <col min="6400" max="6402" width="7.140625" style="90" customWidth="1"/>
    <col min="6403" max="6403" width="5" style="90" customWidth="1"/>
    <col min="6404" max="6406" width="7.140625" style="90" customWidth="1"/>
    <col min="6407" max="6407" width="5" style="90" customWidth="1"/>
    <col min="6408" max="6410" width="7.140625" style="90" customWidth="1"/>
    <col min="6411" max="6654" width="9.140625" style="90"/>
    <col min="6655" max="6655" width="33.140625" style="90" bestFit="1" customWidth="1"/>
    <col min="6656" max="6658" width="7.140625" style="90" customWidth="1"/>
    <col min="6659" max="6659" width="5" style="90" customWidth="1"/>
    <col min="6660" max="6662" width="7.140625" style="90" customWidth="1"/>
    <col min="6663" max="6663" width="5" style="90" customWidth="1"/>
    <col min="6664" max="6666" width="7.140625" style="90" customWidth="1"/>
    <col min="6667" max="6910" width="9.140625" style="90"/>
    <col min="6911" max="6911" width="33.140625" style="90" bestFit="1" customWidth="1"/>
    <col min="6912" max="6914" width="7.140625" style="90" customWidth="1"/>
    <col min="6915" max="6915" width="5" style="90" customWidth="1"/>
    <col min="6916" max="6918" width="7.140625" style="90" customWidth="1"/>
    <col min="6919" max="6919" width="5" style="90" customWidth="1"/>
    <col min="6920" max="6922" width="7.140625" style="90" customWidth="1"/>
    <col min="6923" max="7166" width="9.140625" style="90"/>
    <col min="7167" max="7167" width="33.140625" style="90" bestFit="1" customWidth="1"/>
    <col min="7168" max="7170" width="7.140625" style="90" customWidth="1"/>
    <col min="7171" max="7171" width="5" style="90" customWidth="1"/>
    <col min="7172" max="7174" width="7.140625" style="90" customWidth="1"/>
    <col min="7175" max="7175" width="5" style="90" customWidth="1"/>
    <col min="7176" max="7178" width="7.140625" style="90" customWidth="1"/>
    <col min="7179" max="7422" width="9.140625" style="90"/>
    <col min="7423" max="7423" width="33.140625" style="90" bestFit="1" customWidth="1"/>
    <col min="7424" max="7426" width="7.140625" style="90" customWidth="1"/>
    <col min="7427" max="7427" width="5" style="90" customWidth="1"/>
    <col min="7428" max="7430" width="7.140625" style="90" customWidth="1"/>
    <col min="7431" max="7431" width="5" style="90" customWidth="1"/>
    <col min="7432" max="7434" width="7.140625" style="90" customWidth="1"/>
    <col min="7435" max="7678" width="9.140625" style="90"/>
    <col min="7679" max="7679" width="33.140625" style="90" bestFit="1" customWidth="1"/>
    <col min="7680" max="7682" width="7.140625" style="90" customWidth="1"/>
    <col min="7683" max="7683" width="5" style="90" customWidth="1"/>
    <col min="7684" max="7686" width="7.140625" style="90" customWidth="1"/>
    <col min="7687" max="7687" width="5" style="90" customWidth="1"/>
    <col min="7688" max="7690" width="7.140625" style="90" customWidth="1"/>
    <col min="7691" max="7934" width="9.140625" style="90"/>
    <col min="7935" max="7935" width="33.140625" style="90" bestFit="1" customWidth="1"/>
    <col min="7936" max="7938" width="7.140625" style="90" customWidth="1"/>
    <col min="7939" max="7939" width="5" style="90" customWidth="1"/>
    <col min="7940" max="7942" width="7.140625" style="90" customWidth="1"/>
    <col min="7943" max="7943" width="5" style="90" customWidth="1"/>
    <col min="7944" max="7946" width="7.140625" style="90" customWidth="1"/>
    <col min="7947" max="8190" width="9.140625" style="90"/>
    <col min="8191" max="8191" width="33.140625" style="90" bestFit="1" customWidth="1"/>
    <col min="8192" max="8194" width="7.140625" style="90" customWidth="1"/>
    <col min="8195" max="8195" width="5" style="90" customWidth="1"/>
    <col min="8196" max="8198" width="7.140625" style="90" customWidth="1"/>
    <col min="8199" max="8199" width="5" style="90" customWidth="1"/>
    <col min="8200" max="8202" width="7.140625" style="90" customWidth="1"/>
    <col min="8203" max="8446" width="9.140625" style="90"/>
    <col min="8447" max="8447" width="33.140625" style="90" bestFit="1" customWidth="1"/>
    <col min="8448" max="8450" width="7.140625" style="90" customWidth="1"/>
    <col min="8451" max="8451" width="5" style="90" customWidth="1"/>
    <col min="8452" max="8454" width="7.140625" style="90" customWidth="1"/>
    <col min="8455" max="8455" width="5" style="90" customWidth="1"/>
    <col min="8456" max="8458" width="7.140625" style="90" customWidth="1"/>
    <col min="8459" max="8702" width="9.140625" style="90"/>
    <col min="8703" max="8703" width="33.140625" style="90" bestFit="1" customWidth="1"/>
    <col min="8704" max="8706" width="7.140625" style="90" customWidth="1"/>
    <col min="8707" max="8707" width="5" style="90" customWidth="1"/>
    <col min="8708" max="8710" width="7.140625" style="90" customWidth="1"/>
    <col min="8711" max="8711" width="5" style="90" customWidth="1"/>
    <col min="8712" max="8714" width="7.140625" style="90" customWidth="1"/>
    <col min="8715" max="8958" width="9.140625" style="90"/>
    <col min="8959" max="8959" width="33.140625" style="90" bestFit="1" customWidth="1"/>
    <col min="8960" max="8962" width="7.140625" style="90" customWidth="1"/>
    <col min="8963" max="8963" width="5" style="90" customWidth="1"/>
    <col min="8964" max="8966" width="7.140625" style="90" customWidth="1"/>
    <col min="8967" max="8967" width="5" style="90" customWidth="1"/>
    <col min="8968" max="8970" width="7.140625" style="90" customWidth="1"/>
    <col min="8971" max="9214" width="9.140625" style="90"/>
    <col min="9215" max="9215" width="33.140625" style="90" bestFit="1" customWidth="1"/>
    <col min="9216" max="9218" width="7.140625" style="90" customWidth="1"/>
    <col min="9219" max="9219" width="5" style="90" customWidth="1"/>
    <col min="9220" max="9222" width="7.140625" style="90" customWidth="1"/>
    <col min="9223" max="9223" width="5" style="90" customWidth="1"/>
    <col min="9224" max="9226" width="7.140625" style="90" customWidth="1"/>
    <col min="9227" max="9470" width="9.140625" style="90"/>
    <col min="9471" max="9471" width="33.140625" style="90" bestFit="1" customWidth="1"/>
    <col min="9472" max="9474" width="7.140625" style="90" customWidth="1"/>
    <col min="9475" max="9475" width="5" style="90" customWidth="1"/>
    <col min="9476" max="9478" width="7.140625" style="90" customWidth="1"/>
    <col min="9479" max="9479" width="5" style="90" customWidth="1"/>
    <col min="9480" max="9482" width="7.140625" style="90" customWidth="1"/>
    <col min="9483" max="9726" width="9.140625" style="90"/>
    <col min="9727" max="9727" width="33.140625" style="90" bestFit="1" customWidth="1"/>
    <col min="9728" max="9730" width="7.140625" style="90" customWidth="1"/>
    <col min="9731" max="9731" width="5" style="90" customWidth="1"/>
    <col min="9732" max="9734" width="7.140625" style="90" customWidth="1"/>
    <col min="9735" max="9735" width="5" style="90" customWidth="1"/>
    <col min="9736" max="9738" width="7.140625" style="90" customWidth="1"/>
    <col min="9739" max="9982" width="9.140625" style="90"/>
    <col min="9983" max="9983" width="33.140625" style="90" bestFit="1" customWidth="1"/>
    <col min="9984" max="9986" width="7.140625" style="90" customWidth="1"/>
    <col min="9987" max="9987" width="5" style="90" customWidth="1"/>
    <col min="9988" max="9990" width="7.140625" style="90" customWidth="1"/>
    <col min="9991" max="9991" width="5" style="90" customWidth="1"/>
    <col min="9992" max="9994" width="7.140625" style="90" customWidth="1"/>
    <col min="9995" max="10238" width="9.140625" style="90"/>
    <col min="10239" max="10239" width="33.140625" style="90" bestFit="1" customWidth="1"/>
    <col min="10240" max="10242" width="7.140625" style="90" customWidth="1"/>
    <col min="10243" max="10243" width="5" style="90" customWidth="1"/>
    <col min="10244" max="10246" width="7.140625" style="90" customWidth="1"/>
    <col min="10247" max="10247" width="5" style="90" customWidth="1"/>
    <col min="10248" max="10250" width="7.140625" style="90" customWidth="1"/>
    <col min="10251" max="10494" width="9.140625" style="90"/>
    <col min="10495" max="10495" width="33.140625" style="90" bestFit="1" customWidth="1"/>
    <col min="10496" max="10498" width="7.140625" style="90" customWidth="1"/>
    <col min="10499" max="10499" width="5" style="90" customWidth="1"/>
    <col min="10500" max="10502" width="7.140625" style="90" customWidth="1"/>
    <col min="10503" max="10503" width="5" style="90" customWidth="1"/>
    <col min="10504" max="10506" width="7.140625" style="90" customWidth="1"/>
    <col min="10507" max="10750" width="9.140625" style="90"/>
    <col min="10751" max="10751" width="33.140625" style="90" bestFit="1" customWidth="1"/>
    <col min="10752" max="10754" width="7.140625" style="90" customWidth="1"/>
    <col min="10755" max="10755" width="5" style="90" customWidth="1"/>
    <col min="10756" max="10758" width="7.140625" style="90" customWidth="1"/>
    <col min="10759" max="10759" width="5" style="90" customWidth="1"/>
    <col min="10760" max="10762" width="7.140625" style="90" customWidth="1"/>
    <col min="10763" max="11006" width="9.140625" style="90"/>
    <col min="11007" max="11007" width="33.140625" style="90" bestFit="1" customWidth="1"/>
    <col min="11008" max="11010" width="7.140625" style="90" customWidth="1"/>
    <col min="11011" max="11011" width="5" style="90" customWidth="1"/>
    <col min="11012" max="11014" width="7.140625" style="90" customWidth="1"/>
    <col min="11015" max="11015" width="5" style="90" customWidth="1"/>
    <col min="11016" max="11018" width="7.140625" style="90" customWidth="1"/>
    <col min="11019" max="11262" width="9.140625" style="90"/>
    <col min="11263" max="11263" width="33.140625" style="90" bestFit="1" customWidth="1"/>
    <col min="11264" max="11266" width="7.140625" style="90" customWidth="1"/>
    <col min="11267" max="11267" width="5" style="90" customWidth="1"/>
    <col min="11268" max="11270" width="7.140625" style="90" customWidth="1"/>
    <col min="11271" max="11271" width="5" style="90" customWidth="1"/>
    <col min="11272" max="11274" width="7.140625" style="90" customWidth="1"/>
    <col min="11275" max="11518" width="9.140625" style="90"/>
    <col min="11519" max="11519" width="33.140625" style="90" bestFit="1" customWidth="1"/>
    <col min="11520" max="11522" width="7.140625" style="90" customWidth="1"/>
    <col min="11523" max="11523" width="5" style="90" customWidth="1"/>
    <col min="11524" max="11526" width="7.140625" style="90" customWidth="1"/>
    <col min="11527" max="11527" width="5" style="90" customWidth="1"/>
    <col min="11528" max="11530" width="7.140625" style="90" customWidth="1"/>
    <col min="11531" max="11774" width="9.140625" style="90"/>
    <col min="11775" max="11775" width="33.140625" style="90" bestFit="1" customWidth="1"/>
    <col min="11776" max="11778" width="7.140625" style="90" customWidth="1"/>
    <col min="11779" max="11779" width="5" style="90" customWidth="1"/>
    <col min="11780" max="11782" width="7.140625" style="90" customWidth="1"/>
    <col min="11783" max="11783" width="5" style="90" customWidth="1"/>
    <col min="11784" max="11786" width="7.140625" style="90" customWidth="1"/>
    <col min="11787" max="12030" width="9.140625" style="90"/>
    <col min="12031" max="12031" width="33.140625" style="90" bestFit="1" customWidth="1"/>
    <col min="12032" max="12034" width="7.140625" style="90" customWidth="1"/>
    <col min="12035" max="12035" width="5" style="90" customWidth="1"/>
    <col min="12036" max="12038" width="7.140625" style="90" customWidth="1"/>
    <col min="12039" max="12039" width="5" style="90" customWidth="1"/>
    <col min="12040" max="12042" width="7.140625" style="90" customWidth="1"/>
    <col min="12043" max="12286" width="9.140625" style="90"/>
    <col min="12287" max="12287" width="33.140625" style="90" bestFit="1" customWidth="1"/>
    <col min="12288" max="12290" width="7.140625" style="90" customWidth="1"/>
    <col min="12291" max="12291" width="5" style="90" customWidth="1"/>
    <col min="12292" max="12294" width="7.140625" style="90" customWidth="1"/>
    <col min="12295" max="12295" width="5" style="90" customWidth="1"/>
    <col min="12296" max="12298" width="7.140625" style="90" customWidth="1"/>
    <col min="12299" max="12542" width="9.140625" style="90"/>
    <col min="12543" max="12543" width="33.140625" style="90" bestFit="1" customWidth="1"/>
    <col min="12544" max="12546" width="7.140625" style="90" customWidth="1"/>
    <col min="12547" max="12547" width="5" style="90" customWidth="1"/>
    <col min="12548" max="12550" width="7.140625" style="90" customWidth="1"/>
    <col min="12551" max="12551" width="5" style="90" customWidth="1"/>
    <col min="12552" max="12554" width="7.140625" style="90" customWidth="1"/>
    <col min="12555" max="12798" width="9.140625" style="90"/>
    <col min="12799" max="12799" width="33.140625" style="90" bestFit="1" customWidth="1"/>
    <col min="12800" max="12802" width="7.140625" style="90" customWidth="1"/>
    <col min="12803" max="12803" width="5" style="90" customWidth="1"/>
    <col min="12804" max="12806" width="7.140625" style="90" customWidth="1"/>
    <col min="12807" max="12807" width="5" style="90" customWidth="1"/>
    <col min="12808" max="12810" width="7.140625" style="90" customWidth="1"/>
    <col min="12811" max="13054" width="9.140625" style="90"/>
    <col min="13055" max="13055" width="33.140625" style="90" bestFit="1" customWidth="1"/>
    <col min="13056" max="13058" width="7.140625" style="90" customWidth="1"/>
    <col min="13059" max="13059" width="5" style="90" customWidth="1"/>
    <col min="13060" max="13062" width="7.140625" style="90" customWidth="1"/>
    <col min="13063" max="13063" width="5" style="90" customWidth="1"/>
    <col min="13064" max="13066" width="7.140625" style="90" customWidth="1"/>
    <col min="13067" max="13310" width="9.140625" style="90"/>
    <col min="13311" max="13311" width="33.140625" style="90" bestFit="1" customWidth="1"/>
    <col min="13312" max="13314" width="7.140625" style="90" customWidth="1"/>
    <col min="13315" max="13315" width="5" style="90" customWidth="1"/>
    <col min="13316" max="13318" width="7.140625" style="90" customWidth="1"/>
    <col min="13319" max="13319" width="5" style="90" customWidth="1"/>
    <col min="13320" max="13322" width="7.140625" style="90" customWidth="1"/>
    <col min="13323" max="13566" width="9.140625" style="90"/>
    <col min="13567" max="13567" width="33.140625" style="90" bestFit="1" customWidth="1"/>
    <col min="13568" max="13570" width="7.140625" style="90" customWidth="1"/>
    <col min="13571" max="13571" width="5" style="90" customWidth="1"/>
    <col min="13572" max="13574" width="7.140625" style="90" customWidth="1"/>
    <col min="13575" max="13575" width="5" style="90" customWidth="1"/>
    <col min="13576" max="13578" width="7.140625" style="90" customWidth="1"/>
    <col min="13579" max="13822" width="9.140625" style="90"/>
    <col min="13823" max="13823" width="33.140625" style="90" bestFit="1" customWidth="1"/>
    <col min="13824" max="13826" width="7.140625" style="90" customWidth="1"/>
    <col min="13827" max="13827" width="5" style="90" customWidth="1"/>
    <col min="13828" max="13830" width="7.140625" style="90" customWidth="1"/>
    <col min="13831" max="13831" width="5" style="90" customWidth="1"/>
    <col min="13832" max="13834" width="7.140625" style="90" customWidth="1"/>
    <col min="13835" max="14078" width="9.140625" style="90"/>
    <col min="14079" max="14079" width="33.140625" style="90" bestFit="1" customWidth="1"/>
    <col min="14080" max="14082" width="7.140625" style="90" customWidth="1"/>
    <col min="14083" max="14083" width="5" style="90" customWidth="1"/>
    <col min="14084" max="14086" width="7.140625" style="90" customWidth="1"/>
    <col min="14087" max="14087" width="5" style="90" customWidth="1"/>
    <col min="14088" max="14090" width="7.140625" style="90" customWidth="1"/>
    <col min="14091" max="14334" width="9.140625" style="90"/>
    <col min="14335" max="14335" width="33.140625" style="90" bestFit="1" customWidth="1"/>
    <col min="14336" max="14338" width="7.140625" style="90" customWidth="1"/>
    <col min="14339" max="14339" width="5" style="90" customWidth="1"/>
    <col min="14340" max="14342" width="7.140625" style="90" customWidth="1"/>
    <col min="14343" max="14343" width="5" style="90" customWidth="1"/>
    <col min="14344" max="14346" width="7.140625" style="90" customWidth="1"/>
    <col min="14347" max="14590" width="9.140625" style="90"/>
    <col min="14591" max="14591" width="33.140625" style="90" bestFit="1" customWidth="1"/>
    <col min="14592" max="14594" width="7.140625" style="90" customWidth="1"/>
    <col min="14595" max="14595" width="5" style="90" customWidth="1"/>
    <col min="14596" max="14598" width="7.140625" style="90" customWidth="1"/>
    <col min="14599" max="14599" width="5" style="90" customWidth="1"/>
    <col min="14600" max="14602" width="7.140625" style="90" customWidth="1"/>
    <col min="14603" max="14846" width="9.140625" style="90"/>
    <col min="14847" max="14847" width="33.140625" style="90" bestFit="1" customWidth="1"/>
    <col min="14848" max="14850" width="7.140625" style="90" customWidth="1"/>
    <col min="14851" max="14851" width="5" style="90" customWidth="1"/>
    <col min="14852" max="14854" width="7.140625" style="90" customWidth="1"/>
    <col min="14855" max="14855" width="5" style="90" customWidth="1"/>
    <col min="14856" max="14858" width="7.140625" style="90" customWidth="1"/>
    <col min="14859" max="15102" width="9.140625" style="90"/>
    <col min="15103" max="15103" width="33.140625" style="90" bestFit="1" customWidth="1"/>
    <col min="15104" max="15106" width="7.140625" style="90" customWidth="1"/>
    <col min="15107" max="15107" width="5" style="90" customWidth="1"/>
    <col min="15108" max="15110" width="7.140625" style="90" customWidth="1"/>
    <col min="15111" max="15111" width="5" style="90" customWidth="1"/>
    <col min="15112" max="15114" width="7.140625" style="90" customWidth="1"/>
    <col min="15115" max="15358" width="9.140625" style="90"/>
    <col min="15359" max="15359" width="33.140625" style="90" bestFit="1" customWidth="1"/>
    <col min="15360" max="15362" width="7.140625" style="90" customWidth="1"/>
    <col min="15363" max="15363" width="5" style="90" customWidth="1"/>
    <col min="15364" max="15366" width="7.140625" style="90" customWidth="1"/>
    <col min="15367" max="15367" width="5" style="90" customWidth="1"/>
    <col min="15368" max="15370" width="7.140625" style="90" customWidth="1"/>
    <col min="15371" max="15614" width="9.140625" style="90"/>
    <col min="15615" max="15615" width="33.140625" style="90" bestFit="1" customWidth="1"/>
    <col min="15616" max="15618" width="7.140625" style="90" customWidth="1"/>
    <col min="15619" max="15619" width="5" style="90" customWidth="1"/>
    <col min="15620" max="15622" width="7.140625" style="90" customWidth="1"/>
    <col min="15623" max="15623" width="5" style="90" customWidth="1"/>
    <col min="15624" max="15626" width="7.140625" style="90" customWidth="1"/>
    <col min="15627" max="15870" width="9.140625" style="90"/>
    <col min="15871" max="15871" width="33.140625" style="90" bestFit="1" customWidth="1"/>
    <col min="15872" max="15874" width="7.140625" style="90" customWidth="1"/>
    <col min="15875" max="15875" width="5" style="90" customWidth="1"/>
    <col min="15876" max="15878" width="7.140625" style="90" customWidth="1"/>
    <col min="15879" max="15879" width="5" style="90" customWidth="1"/>
    <col min="15880" max="15882" width="7.140625" style="90" customWidth="1"/>
    <col min="15883" max="16126" width="9.140625" style="90"/>
    <col min="16127" max="16127" width="33.140625" style="90" bestFit="1" customWidth="1"/>
    <col min="16128" max="16130" width="7.140625" style="90" customWidth="1"/>
    <col min="16131" max="16131" width="5" style="90" customWidth="1"/>
    <col min="16132" max="16134" width="7.140625" style="90" customWidth="1"/>
    <col min="16135" max="16135" width="5" style="90" customWidth="1"/>
    <col min="16136" max="16138" width="7.140625" style="90" customWidth="1"/>
    <col min="16139" max="16384" width="9.140625" style="90"/>
  </cols>
  <sheetData>
    <row r="1" spans="1:25" ht="15.75" x14ac:dyDescent="0.25">
      <c r="A1" s="18" t="str">
        <f>CONCATENATE("Occupation Table 4  Occuptation composition (SOC2020) by gender, ",B$6,"-",J$6,", ",Info!B5)</f>
        <v>Occupation Table 4  Occuptation composition (SOC2020) by gender, 2015-2035, South 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2">
      <c r="A2" s="181" t="s">
        <v>537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x14ac:dyDescent="0.2">
      <c r="B3" s="121"/>
      <c r="D3" s="121"/>
      <c r="F3" s="121"/>
      <c r="H3" s="121"/>
      <c r="J3" s="121"/>
      <c r="K3" s="236"/>
      <c r="L3" s="248"/>
      <c r="M3" s="236"/>
    </row>
    <row r="4" spans="1:25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2">
      <c r="A6" s="241" t="s">
        <v>0</v>
      </c>
      <c r="B6" s="372">
        <v>2015</v>
      </c>
      <c r="C6" s="373"/>
      <c r="D6" s="373"/>
      <c r="E6" s="325"/>
      <c r="F6" s="372">
        <v>2020</v>
      </c>
      <c r="G6" s="373"/>
      <c r="H6" s="373"/>
      <c r="I6" s="325"/>
      <c r="J6" s="372">
        <v>2035</v>
      </c>
      <c r="K6" s="373"/>
      <c r="L6" s="373"/>
      <c r="M6" s="324"/>
      <c r="N6" s="373" t="s">
        <v>99</v>
      </c>
      <c r="O6" s="373"/>
      <c r="P6" s="326"/>
      <c r="Q6" s="373" t="s">
        <v>98</v>
      </c>
      <c r="R6" s="373"/>
      <c r="S6" s="326"/>
      <c r="T6" s="373" t="s">
        <v>32</v>
      </c>
      <c r="U6" s="373"/>
    </row>
    <row r="7" spans="1:25" ht="15" customHeight="1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2">
      <c r="A9" s="329" t="str">
        <f>name!D4</f>
        <v>11 Corporate managers and directors</v>
      </c>
      <c r="B9" s="330">
        <v>50.401526384164946</v>
      </c>
      <c r="C9" s="330">
        <v>127.88621824715689</v>
      </c>
      <c r="D9" s="330">
        <f>SUM(B9:C9)</f>
        <v>178.28774463132183</v>
      </c>
      <c r="E9" s="331"/>
      <c r="F9" s="330">
        <v>73.146464587809945</v>
      </c>
      <c r="G9" s="330">
        <v>147.27770381805956</v>
      </c>
      <c r="H9" s="330">
        <f>SUM(F9:G9)</f>
        <v>220.42416840586952</v>
      </c>
      <c r="I9" s="331"/>
      <c r="J9" s="330">
        <v>85.279452118268068</v>
      </c>
      <c r="K9" s="330">
        <v>143.32246372020509</v>
      </c>
      <c r="L9" s="330">
        <f>SUM(J9:K9)</f>
        <v>228.60191583847316</v>
      </c>
      <c r="M9" s="236"/>
      <c r="N9" s="328">
        <f>IF(B9&gt;0,(EXP(LN(F9/B9)/($F$6-$B$6))-1)*100,0)</f>
        <v>7.733291863159697</v>
      </c>
      <c r="O9" s="328">
        <f>IF(F9&gt;0,(EXP(LN(J9/F9)/($J$6-$F$6))-1)*100,0)</f>
        <v>1.0283834912734102</v>
      </c>
      <c r="P9" s="328"/>
      <c r="Q9" s="328">
        <f>IF(C9&gt;0,(EXP(LN(G9/C9)/($F$6-$B$6))-1)*100,0)</f>
        <v>2.8638208214827321</v>
      </c>
      <c r="R9" s="328">
        <f>IF(G9&gt;0,(EXP(LN(K9/G9)/($J$6-$F$6))-1)*100,0)</f>
        <v>-0.18132117138545123</v>
      </c>
      <c r="S9" s="327"/>
      <c r="T9" s="328">
        <f>IF(D9&gt;0,(EXP(LN(H9/D9)/($F$6-$B$6))-1)*100,0)</f>
        <v>4.3344050695211855</v>
      </c>
      <c r="U9" s="328">
        <f>IF(H9&gt;0,(EXP(LN(L9/H9)/($J$6-$F$6))-1)*100,0)</f>
        <v>0.24315115938384757</v>
      </c>
      <c r="W9" s="93"/>
      <c r="X9" s="93"/>
      <c r="Y9" s="93"/>
    </row>
    <row r="10" spans="1:25" x14ac:dyDescent="0.2">
      <c r="A10" s="329" t="str">
        <f>name!D5</f>
        <v>12 Other managers and proprietors</v>
      </c>
      <c r="B10" s="330">
        <v>39.840491061839266</v>
      </c>
      <c r="C10" s="330">
        <v>63.589724667695613</v>
      </c>
      <c r="D10" s="330">
        <f t="shared" ref="D10:D34" si="0">SUM(B10:C10)</f>
        <v>103.43021572953488</v>
      </c>
      <c r="E10" s="331"/>
      <c r="F10" s="330">
        <v>48.350476557007639</v>
      </c>
      <c r="G10" s="330">
        <v>67.897013109996891</v>
      </c>
      <c r="H10" s="330">
        <f t="shared" ref="H10:H34" si="1">SUM(F10:G10)</f>
        <v>116.24748966700453</v>
      </c>
      <c r="I10" s="331"/>
      <c r="J10" s="330">
        <v>63.712606721098055</v>
      </c>
      <c r="K10" s="330">
        <v>101.83460655235328</v>
      </c>
      <c r="L10" s="330">
        <f t="shared" ref="L10:L34" si="2">SUM(J10:K10)</f>
        <v>165.54721327345135</v>
      </c>
      <c r="M10" s="236"/>
      <c r="N10" s="328">
        <f t="shared" ref="N10:N36" si="3">IF(B10&gt;0,(EXP(LN(F10/B10)/($F$6-$B$6))-1)*100,0)</f>
        <v>3.9477791981406218</v>
      </c>
      <c r="O10" s="328">
        <f t="shared" ref="O10:O36" si="4">IF(F10&gt;0,(EXP(LN(J10/F10)/($J$6-$F$6))-1)*100,0)</f>
        <v>1.8563965314799313</v>
      </c>
      <c r="P10" s="328"/>
      <c r="Q10" s="328">
        <f t="shared" ref="Q10:Q36" si="5">IF(C10&gt;0,(EXP(LN(G10/C10)/($F$6-$B$6))-1)*100,0)</f>
        <v>1.3194316543855944</v>
      </c>
      <c r="R10" s="328">
        <f t="shared" ref="R10:R36" si="6">IF(G10&gt;0,(EXP(LN(K10/G10)/($J$6-$F$6))-1)*100,0)</f>
        <v>2.7392319392846254</v>
      </c>
      <c r="S10" s="327"/>
      <c r="T10" s="328">
        <f t="shared" ref="T10:T36" si="7">IF(D10&gt;0,(EXP(LN(H10/D10)/($F$6-$B$6))-1)*100,0)</f>
        <v>2.3639958503025804</v>
      </c>
      <c r="U10" s="328">
        <f t="shared" ref="U10:U36" si="8">IF(H10&gt;0,(EXP(LN(L10/H10)/($J$6-$F$6))-1)*100,0)</f>
        <v>2.3848942571800036</v>
      </c>
    </row>
    <row r="11" spans="1:25" x14ac:dyDescent="0.2">
      <c r="A11" s="329" t="str">
        <f>name!D6</f>
        <v>21 Science, research, engineering and technology professionals</v>
      </c>
      <c r="B11" s="330">
        <v>26.626567940430299</v>
      </c>
      <c r="C11" s="330">
        <v>120.72431159303343</v>
      </c>
      <c r="D11" s="330">
        <f t="shared" si="0"/>
        <v>147.35087953346374</v>
      </c>
      <c r="E11" s="331"/>
      <c r="F11" s="330">
        <v>37.183045376720479</v>
      </c>
      <c r="G11" s="330">
        <v>137.60670702916633</v>
      </c>
      <c r="H11" s="330">
        <f t="shared" si="1"/>
        <v>174.78975240588682</v>
      </c>
      <c r="I11" s="331"/>
      <c r="J11" s="330">
        <v>54.085559131943619</v>
      </c>
      <c r="K11" s="330">
        <v>155.45643873539618</v>
      </c>
      <c r="L11" s="330">
        <f t="shared" si="2"/>
        <v>209.5419978673398</v>
      </c>
      <c r="M11" s="236"/>
      <c r="N11" s="328">
        <f t="shared" si="3"/>
        <v>6.9069533367285052</v>
      </c>
      <c r="O11" s="328">
        <f t="shared" si="4"/>
        <v>2.5295594138221134</v>
      </c>
      <c r="P11" s="328"/>
      <c r="Q11" s="328">
        <f t="shared" si="5"/>
        <v>2.6523681710647562</v>
      </c>
      <c r="R11" s="328">
        <f t="shared" si="6"/>
        <v>0.81642060653195347</v>
      </c>
      <c r="S11" s="327"/>
      <c r="T11" s="328">
        <f t="shared" si="7"/>
        <v>3.4743357012069653</v>
      </c>
      <c r="U11" s="328">
        <f t="shared" si="8"/>
        <v>1.2162728285591395</v>
      </c>
    </row>
    <row r="12" spans="1:25" x14ac:dyDescent="0.2">
      <c r="A12" s="329" t="str">
        <f>name!D7</f>
        <v>22 Health professionals</v>
      </c>
      <c r="B12" s="330">
        <v>90.153375132607835</v>
      </c>
      <c r="C12" s="330">
        <v>32.990931031728977</v>
      </c>
      <c r="D12" s="330">
        <f t="shared" si="0"/>
        <v>123.14430616433681</v>
      </c>
      <c r="E12" s="331"/>
      <c r="F12" s="330">
        <v>97.094949349909626</v>
      </c>
      <c r="G12" s="330">
        <v>38.971934377204661</v>
      </c>
      <c r="H12" s="330">
        <f t="shared" si="1"/>
        <v>136.06688372711429</v>
      </c>
      <c r="I12" s="331"/>
      <c r="J12" s="330">
        <v>125.03878294537533</v>
      </c>
      <c r="K12" s="330">
        <v>50.923369963451925</v>
      </c>
      <c r="L12" s="330">
        <f t="shared" si="2"/>
        <v>175.96215290882725</v>
      </c>
      <c r="M12" s="236"/>
      <c r="N12" s="328">
        <f t="shared" si="3"/>
        <v>1.4945984866514106</v>
      </c>
      <c r="O12" s="328">
        <f t="shared" si="4"/>
        <v>1.700527741224156</v>
      </c>
      <c r="P12" s="328"/>
      <c r="Q12" s="328">
        <f t="shared" si="5"/>
        <v>3.3883199507045214</v>
      </c>
      <c r="R12" s="328">
        <f t="shared" si="6"/>
        <v>1.7991952768021013</v>
      </c>
      <c r="S12" s="327"/>
      <c r="T12" s="328">
        <f t="shared" si="7"/>
        <v>2.0158424817891207</v>
      </c>
      <c r="U12" s="328">
        <f t="shared" si="8"/>
        <v>1.7289250071526041</v>
      </c>
    </row>
    <row r="13" spans="1:25" x14ac:dyDescent="0.2">
      <c r="A13" s="329" t="str">
        <f>name!D8</f>
        <v>23 Teaching and other educational professionals</v>
      </c>
      <c r="B13" s="330">
        <v>84.798248265165412</v>
      </c>
      <c r="C13" s="330">
        <v>47.162536561260787</v>
      </c>
      <c r="D13" s="330">
        <f t="shared" si="0"/>
        <v>131.96078482642619</v>
      </c>
      <c r="E13" s="331"/>
      <c r="F13" s="330">
        <v>100.52070266030438</v>
      </c>
      <c r="G13" s="330">
        <v>46.645682691708984</v>
      </c>
      <c r="H13" s="330">
        <f t="shared" si="1"/>
        <v>147.16638535201338</v>
      </c>
      <c r="I13" s="331"/>
      <c r="J13" s="330">
        <v>116.39964839316906</v>
      </c>
      <c r="K13" s="330">
        <v>56.15203935793744</v>
      </c>
      <c r="L13" s="330">
        <f t="shared" si="2"/>
        <v>172.5516877511065</v>
      </c>
      <c r="M13" s="236"/>
      <c r="N13" s="328">
        <f t="shared" si="3"/>
        <v>3.4602984749616095</v>
      </c>
      <c r="O13" s="328">
        <f t="shared" si="4"/>
        <v>0.98256788720547661</v>
      </c>
      <c r="P13" s="328"/>
      <c r="Q13" s="328">
        <f t="shared" si="5"/>
        <v>-0.22014700624274353</v>
      </c>
      <c r="R13" s="328">
        <f t="shared" si="6"/>
        <v>1.2442277276131897</v>
      </c>
      <c r="S13" s="327"/>
      <c r="T13" s="328">
        <f t="shared" si="7"/>
        <v>2.2051421614749156</v>
      </c>
      <c r="U13" s="328">
        <f t="shared" si="8"/>
        <v>1.0665340956459879</v>
      </c>
    </row>
    <row r="14" spans="1:25" x14ac:dyDescent="0.2">
      <c r="A14" s="329" t="str">
        <f>name!D9</f>
        <v>24 Business, media and public service professionals</v>
      </c>
      <c r="B14" s="330">
        <v>59.066732827976594</v>
      </c>
      <c r="C14" s="330">
        <v>94.300527268926288</v>
      </c>
      <c r="D14" s="330">
        <f t="shared" si="0"/>
        <v>153.3672600969029</v>
      </c>
      <c r="E14" s="331"/>
      <c r="F14" s="330">
        <v>85.085287255673222</v>
      </c>
      <c r="G14" s="330">
        <v>110.15590879838491</v>
      </c>
      <c r="H14" s="330">
        <f t="shared" si="1"/>
        <v>195.24119605405815</v>
      </c>
      <c r="I14" s="331"/>
      <c r="J14" s="330">
        <v>112.82857621882259</v>
      </c>
      <c r="K14" s="330">
        <v>139.45093516071509</v>
      </c>
      <c r="L14" s="330">
        <f t="shared" si="2"/>
        <v>252.27951137953767</v>
      </c>
      <c r="M14" s="236"/>
      <c r="N14" s="328">
        <f t="shared" si="3"/>
        <v>7.5727581522390119</v>
      </c>
      <c r="O14" s="328">
        <f t="shared" si="4"/>
        <v>1.8992472724007614</v>
      </c>
      <c r="P14" s="328"/>
      <c r="Q14" s="328">
        <f t="shared" si="5"/>
        <v>3.1570075546168308</v>
      </c>
      <c r="R14" s="328">
        <f t="shared" si="6"/>
        <v>1.5845299888600284</v>
      </c>
      <c r="S14" s="327"/>
      <c r="T14" s="328">
        <f t="shared" si="7"/>
        <v>4.9464518649637412</v>
      </c>
      <c r="U14" s="328">
        <f t="shared" si="8"/>
        <v>1.7233610838155</v>
      </c>
    </row>
    <row r="15" spans="1:25" x14ac:dyDescent="0.2">
      <c r="A15" s="329" t="str">
        <f>name!D10</f>
        <v>31 Science, engineering and technology associate professionals</v>
      </c>
      <c r="B15" s="330">
        <v>11.702242118928973</v>
      </c>
      <c r="C15" s="330">
        <v>32.292943422505523</v>
      </c>
      <c r="D15" s="330">
        <f t="shared" si="0"/>
        <v>43.995185541434495</v>
      </c>
      <c r="E15" s="331"/>
      <c r="F15" s="330">
        <v>16.091198881368872</v>
      </c>
      <c r="G15" s="330">
        <v>41.135843935775256</v>
      </c>
      <c r="H15" s="330">
        <f t="shared" si="1"/>
        <v>57.227042817144124</v>
      </c>
      <c r="I15" s="331"/>
      <c r="J15" s="330">
        <v>19.902814229929881</v>
      </c>
      <c r="K15" s="330">
        <v>34.792218614813571</v>
      </c>
      <c r="L15" s="330">
        <f t="shared" si="2"/>
        <v>54.695032844743452</v>
      </c>
      <c r="M15" s="236"/>
      <c r="N15" s="328">
        <f t="shared" si="3"/>
        <v>6.5770916259476175</v>
      </c>
      <c r="O15" s="328">
        <f t="shared" si="4"/>
        <v>1.4273485201238278</v>
      </c>
      <c r="P15" s="328"/>
      <c r="Q15" s="328">
        <f t="shared" si="5"/>
        <v>4.959694024177308</v>
      </c>
      <c r="R15" s="328">
        <f t="shared" si="6"/>
        <v>-1.1103634353014424</v>
      </c>
      <c r="S15" s="327"/>
      <c r="T15" s="328">
        <f t="shared" si="7"/>
        <v>5.3996649164601118</v>
      </c>
      <c r="U15" s="328">
        <f t="shared" si="8"/>
        <v>-0.30123647041891966</v>
      </c>
    </row>
    <row r="16" spans="1:25" x14ac:dyDescent="0.2">
      <c r="A16" s="329" t="str">
        <f>name!D11</f>
        <v>32 Health and social care associate professionals</v>
      </c>
      <c r="B16" s="330">
        <v>41.868875893874304</v>
      </c>
      <c r="C16" s="330">
        <v>12.834472737615386</v>
      </c>
      <c r="D16" s="330">
        <f t="shared" si="0"/>
        <v>54.703348631489689</v>
      </c>
      <c r="E16" s="331"/>
      <c r="F16" s="330">
        <v>45.491347253591869</v>
      </c>
      <c r="G16" s="330">
        <v>13.399853468043014</v>
      </c>
      <c r="H16" s="330">
        <f t="shared" si="1"/>
        <v>58.891200721634881</v>
      </c>
      <c r="I16" s="331"/>
      <c r="J16" s="330">
        <v>55.908154095853853</v>
      </c>
      <c r="K16" s="330">
        <v>14.449847405721906</v>
      </c>
      <c r="L16" s="330">
        <f t="shared" si="2"/>
        <v>70.358001501575757</v>
      </c>
      <c r="M16" s="236"/>
      <c r="N16" s="328">
        <f t="shared" si="3"/>
        <v>1.6734357717644199</v>
      </c>
      <c r="O16" s="328">
        <f t="shared" si="4"/>
        <v>1.3840782303716548</v>
      </c>
      <c r="P16" s="328"/>
      <c r="Q16" s="328">
        <f t="shared" si="5"/>
        <v>0.8659082480560798</v>
      </c>
      <c r="R16" s="328">
        <f t="shared" si="6"/>
        <v>0.50420071980918912</v>
      </c>
      <c r="S16" s="327"/>
      <c r="T16" s="328">
        <f t="shared" si="7"/>
        <v>1.4862719943511848</v>
      </c>
      <c r="U16" s="328">
        <f t="shared" si="8"/>
        <v>1.1930934477469402</v>
      </c>
    </row>
    <row r="17" spans="1:21" x14ac:dyDescent="0.2">
      <c r="A17" s="329" t="str">
        <f>name!D12</f>
        <v>33 Protective service occupations</v>
      </c>
      <c r="B17" s="330">
        <v>4.3654355376400931</v>
      </c>
      <c r="C17" s="330">
        <v>14.553021218716779</v>
      </c>
      <c r="D17" s="330">
        <f t="shared" si="0"/>
        <v>18.918456756356871</v>
      </c>
      <c r="E17" s="331"/>
      <c r="F17" s="330">
        <v>5.6375849901913844</v>
      </c>
      <c r="G17" s="330">
        <v>15.559644764294029</v>
      </c>
      <c r="H17" s="330">
        <f t="shared" si="1"/>
        <v>21.197229754485413</v>
      </c>
      <c r="I17" s="331"/>
      <c r="J17" s="330">
        <v>9.8282234321513737</v>
      </c>
      <c r="K17" s="330">
        <v>20.133102914513874</v>
      </c>
      <c r="L17" s="330">
        <f t="shared" si="2"/>
        <v>29.961326346665246</v>
      </c>
      <c r="M17" s="236"/>
      <c r="N17" s="328">
        <f t="shared" si="3"/>
        <v>5.2478189029914635</v>
      </c>
      <c r="O17" s="328">
        <f t="shared" si="4"/>
        <v>3.7748532539440882</v>
      </c>
      <c r="P17" s="328"/>
      <c r="Q17" s="328">
        <f t="shared" si="5"/>
        <v>1.346627896763497</v>
      </c>
      <c r="R17" s="328">
        <f t="shared" si="6"/>
        <v>1.7327386143547008</v>
      </c>
      <c r="S17" s="327"/>
      <c r="T17" s="328">
        <f t="shared" si="7"/>
        <v>2.3007175925311873</v>
      </c>
      <c r="U17" s="328">
        <f t="shared" si="8"/>
        <v>2.3337278843928777</v>
      </c>
    </row>
    <row r="18" spans="1:21" x14ac:dyDescent="0.2">
      <c r="A18" s="329" t="str">
        <f>name!D13</f>
        <v>34 Culture, media and sports occupations</v>
      </c>
      <c r="B18" s="330">
        <v>29.118650622379214</v>
      </c>
      <c r="C18" s="330">
        <v>28.514829118001455</v>
      </c>
      <c r="D18" s="330">
        <f t="shared" si="0"/>
        <v>57.633479740380665</v>
      </c>
      <c r="E18" s="331"/>
      <c r="F18" s="330">
        <v>35.604804213220092</v>
      </c>
      <c r="G18" s="330">
        <v>26.582640202544823</v>
      </c>
      <c r="H18" s="330">
        <f t="shared" si="1"/>
        <v>62.187444415764915</v>
      </c>
      <c r="I18" s="331"/>
      <c r="J18" s="330">
        <v>43.495306866300233</v>
      </c>
      <c r="K18" s="330">
        <v>32.365737137121499</v>
      </c>
      <c r="L18" s="330">
        <f t="shared" si="2"/>
        <v>75.861044003421739</v>
      </c>
      <c r="M18" s="236"/>
      <c r="N18" s="328">
        <f t="shared" si="3"/>
        <v>4.1040130628287708</v>
      </c>
      <c r="O18" s="328">
        <f t="shared" si="4"/>
        <v>1.3434270706018436</v>
      </c>
      <c r="P18" s="328"/>
      <c r="Q18" s="328">
        <f t="shared" si="5"/>
        <v>-1.3935172552761999</v>
      </c>
      <c r="R18" s="328">
        <f t="shared" si="6"/>
        <v>1.3209281058196298</v>
      </c>
      <c r="S18" s="327"/>
      <c r="T18" s="328">
        <f t="shared" si="7"/>
        <v>1.5326154493202626</v>
      </c>
      <c r="U18" s="328">
        <f t="shared" si="8"/>
        <v>1.333818221605676</v>
      </c>
    </row>
    <row r="19" spans="1:21" x14ac:dyDescent="0.2">
      <c r="A19" s="329" t="str">
        <f>name!D14</f>
        <v>35 Business and public service associate professionals</v>
      </c>
      <c r="B19" s="330">
        <v>69.908931069575459</v>
      </c>
      <c r="C19" s="330">
        <v>87.041483688037502</v>
      </c>
      <c r="D19" s="330">
        <f t="shared" si="0"/>
        <v>156.95041475761298</v>
      </c>
      <c r="E19" s="331"/>
      <c r="F19" s="330">
        <v>82.774489277445284</v>
      </c>
      <c r="G19" s="330">
        <v>93.471933376030194</v>
      </c>
      <c r="H19" s="330">
        <f t="shared" si="1"/>
        <v>176.24642265347546</v>
      </c>
      <c r="I19" s="331"/>
      <c r="J19" s="330">
        <v>92.936902945199435</v>
      </c>
      <c r="K19" s="330">
        <v>87.7969855098425</v>
      </c>
      <c r="L19" s="330">
        <f t="shared" si="2"/>
        <v>180.73388845504195</v>
      </c>
      <c r="M19" s="236"/>
      <c r="N19" s="328">
        <f t="shared" si="3"/>
        <v>3.436250589591805</v>
      </c>
      <c r="O19" s="328">
        <f t="shared" si="4"/>
        <v>0.77499355917864943</v>
      </c>
      <c r="P19" s="328"/>
      <c r="Q19" s="328">
        <f t="shared" si="5"/>
        <v>1.4357367879547001</v>
      </c>
      <c r="R19" s="328">
        <f t="shared" si="6"/>
        <v>-0.41668974229864819</v>
      </c>
      <c r="S19" s="327"/>
      <c r="T19" s="328">
        <f t="shared" si="7"/>
        <v>2.346163748143737</v>
      </c>
      <c r="U19" s="328">
        <f t="shared" si="8"/>
        <v>0.16775772545101209</v>
      </c>
    </row>
    <row r="20" spans="1:21" x14ac:dyDescent="0.2">
      <c r="A20" s="329" t="str">
        <f>name!D15</f>
        <v>41 Administrative occupations</v>
      </c>
      <c r="B20" s="330">
        <v>169.50614310510326</v>
      </c>
      <c r="C20" s="330">
        <v>61.14576183096257</v>
      </c>
      <c r="D20" s="330">
        <f t="shared" si="0"/>
        <v>230.65190493606582</v>
      </c>
      <c r="E20" s="331"/>
      <c r="F20" s="330">
        <v>173.39195630794055</v>
      </c>
      <c r="G20" s="330">
        <v>66.905200852534307</v>
      </c>
      <c r="H20" s="330">
        <f t="shared" si="1"/>
        <v>240.29715716047485</v>
      </c>
      <c r="I20" s="331"/>
      <c r="J20" s="330">
        <v>143.63991064972134</v>
      </c>
      <c r="K20" s="330">
        <v>66.447834846858285</v>
      </c>
      <c r="L20" s="330">
        <f t="shared" si="2"/>
        <v>210.08774549657963</v>
      </c>
      <c r="M20" s="236"/>
      <c r="N20" s="328">
        <f t="shared" si="3"/>
        <v>0.45433913513677204</v>
      </c>
      <c r="O20" s="328">
        <f t="shared" si="4"/>
        <v>-1.2471256404625097</v>
      </c>
      <c r="P20" s="328"/>
      <c r="Q20" s="328">
        <f t="shared" si="5"/>
        <v>1.8166265637570067</v>
      </c>
      <c r="R20" s="328">
        <f t="shared" si="6"/>
        <v>-4.5719567900259772E-2</v>
      </c>
      <c r="S20" s="327"/>
      <c r="T20" s="328">
        <f t="shared" si="7"/>
        <v>0.82269858431440746</v>
      </c>
      <c r="U20" s="328">
        <f t="shared" si="8"/>
        <v>-0.89167434760122344</v>
      </c>
    </row>
    <row r="21" spans="1:21" x14ac:dyDescent="0.2">
      <c r="A21" s="329" t="str">
        <f>name!D16</f>
        <v>42 Secretarial and related occupations</v>
      </c>
      <c r="B21" s="330">
        <v>53.305748536057941</v>
      </c>
      <c r="C21" s="330">
        <v>6.2705006316772991</v>
      </c>
      <c r="D21" s="330">
        <f t="shared" si="0"/>
        <v>59.576249167735241</v>
      </c>
      <c r="E21" s="331"/>
      <c r="F21" s="330">
        <v>49.639526056583435</v>
      </c>
      <c r="G21" s="330">
        <v>4.4042167043455178</v>
      </c>
      <c r="H21" s="330">
        <f t="shared" si="1"/>
        <v>54.04374276092895</v>
      </c>
      <c r="I21" s="331"/>
      <c r="J21" s="330">
        <v>43.702728198855574</v>
      </c>
      <c r="K21" s="330">
        <v>7.8393588362517894</v>
      </c>
      <c r="L21" s="330">
        <f t="shared" si="2"/>
        <v>51.542087035107365</v>
      </c>
      <c r="M21" s="236"/>
      <c r="N21" s="328">
        <f t="shared" si="3"/>
        <v>-1.4150283192473134</v>
      </c>
      <c r="O21" s="328">
        <f t="shared" si="4"/>
        <v>-0.84558387311054473</v>
      </c>
      <c r="P21" s="328"/>
      <c r="Q21" s="328">
        <f t="shared" si="5"/>
        <v>-6.8220196568146818</v>
      </c>
      <c r="R21" s="328">
        <f t="shared" si="6"/>
        <v>3.9188002880016892</v>
      </c>
      <c r="S21" s="327"/>
      <c r="T21" s="328">
        <f t="shared" si="7"/>
        <v>-1.9303891027978137</v>
      </c>
      <c r="U21" s="328">
        <f t="shared" si="8"/>
        <v>-0.31546849495365237</v>
      </c>
    </row>
    <row r="22" spans="1:21" x14ac:dyDescent="0.2">
      <c r="A22" s="329" t="str">
        <f>name!D17</f>
        <v>51 Skilled agricultural and related trades</v>
      </c>
      <c r="B22" s="330">
        <v>4.0969868525272553</v>
      </c>
      <c r="C22" s="330">
        <v>36.977628000777599</v>
      </c>
      <c r="D22" s="330">
        <f t="shared" si="0"/>
        <v>41.074614853304851</v>
      </c>
      <c r="E22" s="331"/>
      <c r="F22" s="330">
        <v>5.5248441429069528</v>
      </c>
      <c r="G22" s="330">
        <v>37.864920023095074</v>
      </c>
      <c r="H22" s="330">
        <f t="shared" si="1"/>
        <v>43.389764166002024</v>
      </c>
      <c r="I22" s="331"/>
      <c r="J22" s="330">
        <v>7.4775490500484612</v>
      </c>
      <c r="K22" s="330">
        <v>40.041180711108417</v>
      </c>
      <c r="L22" s="330">
        <f t="shared" si="2"/>
        <v>47.518729761156877</v>
      </c>
      <c r="M22" s="236"/>
      <c r="N22" s="328">
        <f t="shared" si="3"/>
        <v>6.1624890116787068</v>
      </c>
      <c r="O22" s="328">
        <f t="shared" si="4"/>
        <v>2.0381593804816855</v>
      </c>
      <c r="P22" s="328"/>
      <c r="Q22" s="328">
        <f t="shared" si="5"/>
        <v>0.47536648374695289</v>
      </c>
      <c r="R22" s="328">
        <f t="shared" si="6"/>
        <v>0.37325053062051694</v>
      </c>
      <c r="S22" s="327"/>
      <c r="T22" s="328">
        <f t="shared" si="7"/>
        <v>1.1027009666257248</v>
      </c>
      <c r="U22" s="328">
        <f t="shared" si="8"/>
        <v>0.60784244009937094</v>
      </c>
    </row>
    <row r="23" spans="1:21" x14ac:dyDescent="0.2">
      <c r="A23" s="329" t="str">
        <f>name!D18</f>
        <v>52 Skilled metal, electrical and electronic trades</v>
      </c>
      <c r="B23" s="330">
        <v>2.1362556285902117</v>
      </c>
      <c r="C23" s="330">
        <v>117.64816989119569</v>
      </c>
      <c r="D23" s="330">
        <f t="shared" si="0"/>
        <v>119.7844255197859</v>
      </c>
      <c r="E23" s="331"/>
      <c r="F23" s="330">
        <v>2.9006023121482807</v>
      </c>
      <c r="G23" s="330">
        <v>102.48517582773572</v>
      </c>
      <c r="H23" s="330">
        <f t="shared" si="1"/>
        <v>105.385778139884</v>
      </c>
      <c r="I23" s="331"/>
      <c r="J23" s="330">
        <v>9.1402436992043619</v>
      </c>
      <c r="K23" s="330">
        <v>92.197140140067447</v>
      </c>
      <c r="L23" s="330">
        <f t="shared" si="2"/>
        <v>101.33738383927181</v>
      </c>
      <c r="M23" s="236"/>
      <c r="N23" s="328">
        <f t="shared" si="3"/>
        <v>6.3082560511775299</v>
      </c>
      <c r="O23" s="328">
        <f t="shared" si="4"/>
        <v>7.9521523586470355</v>
      </c>
      <c r="P23" s="328"/>
      <c r="Q23" s="328">
        <f t="shared" si="5"/>
        <v>-2.7218786263131012</v>
      </c>
      <c r="R23" s="328">
        <f t="shared" si="6"/>
        <v>-0.70277920867023447</v>
      </c>
      <c r="S23" s="327"/>
      <c r="T23" s="328">
        <f t="shared" si="7"/>
        <v>-2.5287960486382488</v>
      </c>
      <c r="U23" s="328">
        <f t="shared" si="8"/>
        <v>-0.2608080413666114</v>
      </c>
    </row>
    <row r="24" spans="1:21" x14ac:dyDescent="0.2">
      <c r="A24" s="329" t="str">
        <f>name!D19</f>
        <v>53 Skilled construction and building trades</v>
      </c>
      <c r="B24" s="330">
        <v>1.5005611578211298</v>
      </c>
      <c r="C24" s="330">
        <v>110.20593548867936</v>
      </c>
      <c r="D24" s="330">
        <f t="shared" si="0"/>
        <v>111.70649664650048</v>
      </c>
      <c r="E24" s="331"/>
      <c r="F24" s="330">
        <v>2.2652192277268988</v>
      </c>
      <c r="G24" s="330">
        <v>91.528853254471713</v>
      </c>
      <c r="H24" s="330">
        <f t="shared" si="1"/>
        <v>93.794072482198615</v>
      </c>
      <c r="I24" s="331"/>
      <c r="J24" s="330">
        <v>3.1076144022561487</v>
      </c>
      <c r="K24" s="330">
        <v>100.26053977692051</v>
      </c>
      <c r="L24" s="330">
        <f t="shared" si="2"/>
        <v>103.36815417917666</v>
      </c>
      <c r="M24" s="236"/>
      <c r="N24" s="328">
        <f t="shared" si="3"/>
        <v>8.5853680613530603</v>
      </c>
      <c r="O24" s="328">
        <f t="shared" si="4"/>
        <v>2.1302650688662883</v>
      </c>
      <c r="P24" s="328"/>
      <c r="Q24" s="328">
        <f t="shared" si="5"/>
        <v>-3.6458094932270368</v>
      </c>
      <c r="R24" s="328">
        <f t="shared" si="6"/>
        <v>0.60930164940717901</v>
      </c>
      <c r="S24" s="327"/>
      <c r="T24" s="328">
        <f t="shared" si="7"/>
        <v>-3.4350783869264379</v>
      </c>
      <c r="U24" s="328">
        <f t="shared" si="8"/>
        <v>0.65007230462037491</v>
      </c>
    </row>
    <row r="25" spans="1:21" x14ac:dyDescent="0.2">
      <c r="A25" s="329" t="str">
        <f>name!D20</f>
        <v>54 Textiles, printing and other skilled trades</v>
      </c>
      <c r="B25" s="330">
        <v>23.860557087888857</v>
      </c>
      <c r="C25" s="330">
        <v>35.517535424723107</v>
      </c>
      <c r="D25" s="330">
        <f t="shared" si="0"/>
        <v>59.378092512611964</v>
      </c>
      <c r="E25" s="331"/>
      <c r="F25" s="330">
        <v>25.439483183937963</v>
      </c>
      <c r="G25" s="330">
        <v>30.004086961532259</v>
      </c>
      <c r="H25" s="330">
        <f t="shared" si="1"/>
        <v>55.443570145470218</v>
      </c>
      <c r="I25" s="331"/>
      <c r="J25" s="330">
        <v>26.124690669052541</v>
      </c>
      <c r="K25" s="330">
        <v>28.141886668929022</v>
      </c>
      <c r="L25" s="330">
        <f t="shared" si="2"/>
        <v>54.266577337981559</v>
      </c>
      <c r="M25" s="236"/>
      <c r="N25" s="328">
        <f t="shared" si="3"/>
        <v>1.2897597409184725</v>
      </c>
      <c r="O25" s="328">
        <f t="shared" si="4"/>
        <v>0.17734671778935063</v>
      </c>
      <c r="P25" s="328"/>
      <c r="Q25" s="328">
        <f t="shared" si="5"/>
        <v>-3.3175786181679934</v>
      </c>
      <c r="R25" s="328">
        <f t="shared" si="6"/>
        <v>-0.42625234946066515</v>
      </c>
      <c r="S25" s="327"/>
      <c r="T25" s="328">
        <f t="shared" si="7"/>
        <v>-1.361833905521681</v>
      </c>
      <c r="U25" s="328">
        <f t="shared" si="8"/>
        <v>-0.14294593868290351</v>
      </c>
    </row>
    <row r="26" spans="1:21" x14ac:dyDescent="0.2">
      <c r="A26" s="329" t="str">
        <f>name!D21</f>
        <v>61 Caring personal service occupations</v>
      </c>
      <c r="B26" s="330">
        <v>203.26016334264176</v>
      </c>
      <c r="C26" s="330">
        <v>23.089651675540306</v>
      </c>
      <c r="D26" s="330">
        <f t="shared" si="0"/>
        <v>226.34981501818206</v>
      </c>
      <c r="E26" s="331"/>
      <c r="F26" s="330">
        <v>192.05798036863345</v>
      </c>
      <c r="G26" s="330">
        <v>21.691970638647025</v>
      </c>
      <c r="H26" s="330">
        <f t="shared" si="1"/>
        <v>213.74995100728049</v>
      </c>
      <c r="I26" s="331"/>
      <c r="J26" s="330">
        <v>228.34296144861375</v>
      </c>
      <c r="K26" s="330">
        <v>33.027594035640121</v>
      </c>
      <c r="L26" s="330">
        <f t="shared" si="2"/>
        <v>261.37055548425388</v>
      </c>
      <c r="M26" s="236"/>
      <c r="N26" s="328">
        <f t="shared" si="3"/>
        <v>-1.127385712149731</v>
      </c>
      <c r="O26" s="328">
        <f t="shared" si="4"/>
        <v>1.1603565619844103</v>
      </c>
      <c r="P26" s="328"/>
      <c r="Q26" s="328">
        <f t="shared" si="5"/>
        <v>-1.2410815101854156</v>
      </c>
      <c r="R26" s="328">
        <f t="shared" si="6"/>
        <v>2.842319228536172</v>
      </c>
      <c r="S26" s="327"/>
      <c r="T26" s="328">
        <f t="shared" si="7"/>
        <v>-1.1389597399025009</v>
      </c>
      <c r="U26" s="328">
        <f t="shared" si="8"/>
        <v>1.3499119672925275</v>
      </c>
    </row>
    <row r="27" spans="1:21" x14ac:dyDescent="0.2">
      <c r="A27" s="329" t="str">
        <f>name!D22</f>
        <v>62 Leisure, travel and related personal service occupations</v>
      </c>
      <c r="B27" s="330">
        <v>45.029635895585571</v>
      </c>
      <c r="C27" s="330">
        <v>16.378106119000517</v>
      </c>
      <c r="D27" s="330">
        <f t="shared" si="0"/>
        <v>61.407742014586091</v>
      </c>
      <c r="E27" s="331"/>
      <c r="F27" s="330">
        <v>41.860965802942616</v>
      </c>
      <c r="G27" s="330">
        <v>18.876929962834836</v>
      </c>
      <c r="H27" s="330">
        <f t="shared" si="1"/>
        <v>60.737895765777452</v>
      </c>
      <c r="I27" s="331"/>
      <c r="J27" s="330">
        <v>49.421112415958603</v>
      </c>
      <c r="K27" s="330">
        <v>23.174193523667064</v>
      </c>
      <c r="L27" s="330">
        <f t="shared" si="2"/>
        <v>72.595305939625661</v>
      </c>
      <c r="M27" s="236"/>
      <c r="N27" s="328">
        <f t="shared" si="3"/>
        <v>-1.4487444166742747</v>
      </c>
      <c r="O27" s="328">
        <f t="shared" si="4"/>
        <v>1.1129741205141652</v>
      </c>
      <c r="P27" s="328"/>
      <c r="Q27" s="328">
        <f t="shared" si="5"/>
        <v>2.8806114567282659</v>
      </c>
      <c r="R27" s="328">
        <f t="shared" si="6"/>
        <v>1.3767157872686342</v>
      </c>
      <c r="S27" s="327"/>
      <c r="T27" s="328">
        <f t="shared" si="7"/>
        <v>-0.21912163591645273</v>
      </c>
      <c r="U27" s="328">
        <f t="shared" si="8"/>
        <v>1.1959782877981162</v>
      </c>
    </row>
    <row r="28" spans="1:21" x14ac:dyDescent="0.2">
      <c r="A28" s="329" t="str">
        <f>name!D23</f>
        <v>63 Community and civil enforcement occupations</v>
      </c>
      <c r="B28" s="330">
        <v>0.47056007981055364</v>
      </c>
      <c r="C28" s="330">
        <v>1.8425907461153563</v>
      </c>
      <c r="D28" s="330">
        <f t="shared" si="0"/>
        <v>2.3131508259259101</v>
      </c>
      <c r="E28" s="331"/>
      <c r="F28" s="330">
        <v>0.52912318277701664</v>
      </c>
      <c r="G28" s="330">
        <v>2.0683623969275833</v>
      </c>
      <c r="H28" s="330">
        <f t="shared" si="1"/>
        <v>2.5974855797045997</v>
      </c>
      <c r="I28" s="331"/>
      <c r="J28" s="330">
        <v>0.65697231949532697</v>
      </c>
      <c r="K28" s="330">
        <v>1.4448210626147993</v>
      </c>
      <c r="L28" s="330">
        <f>SUM(J28:K28)</f>
        <v>2.1017933821101265</v>
      </c>
      <c r="M28" s="236"/>
      <c r="N28" s="328">
        <f t="shared" si="3"/>
        <v>2.3736863140751296</v>
      </c>
      <c r="O28" s="328">
        <f t="shared" si="4"/>
        <v>1.4532628010152315</v>
      </c>
      <c r="P28" s="328"/>
      <c r="Q28" s="328">
        <f t="shared" si="5"/>
        <v>2.3386184019568823</v>
      </c>
      <c r="R28" s="328">
        <f t="shared" si="6"/>
        <v>-2.3634342172712541</v>
      </c>
      <c r="S28" s="327"/>
      <c r="T28" s="328">
        <f t="shared" si="7"/>
        <v>2.3457560987282244</v>
      </c>
      <c r="U28" s="328">
        <f t="shared" si="8"/>
        <v>-1.4017685717510497</v>
      </c>
    </row>
    <row r="29" spans="1:21" x14ac:dyDescent="0.2">
      <c r="A29" s="329" t="str">
        <f>name!D24</f>
        <v>71 Sales occupations</v>
      </c>
      <c r="B29" s="330">
        <v>134.61566567263142</v>
      </c>
      <c r="C29" s="330">
        <v>80.723769513229811</v>
      </c>
      <c r="D29" s="330">
        <f t="shared" si="0"/>
        <v>215.33943518586125</v>
      </c>
      <c r="E29" s="331"/>
      <c r="F29" s="330">
        <v>125.92323109273038</v>
      </c>
      <c r="G29" s="330">
        <v>79.79323529189837</v>
      </c>
      <c r="H29" s="330">
        <f t="shared" si="1"/>
        <v>205.71646638462875</v>
      </c>
      <c r="I29" s="331"/>
      <c r="J29" s="330">
        <v>108.59925720219753</v>
      </c>
      <c r="K29" s="330">
        <v>74.901861463246405</v>
      </c>
      <c r="L29" s="330">
        <f t="shared" si="2"/>
        <v>183.50111866544393</v>
      </c>
      <c r="M29" s="236"/>
      <c r="N29" s="328">
        <f t="shared" si="3"/>
        <v>-1.3261551002901051</v>
      </c>
      <c r="O29" s="328">
        <f t="shared" si="4"/>
        <v>-0.98186707503322701</v>
      </c>
      <c r="P29" s="328"/>
      <c r="Q29" s="328">
        <f t="shared" si="5"/>
        <v>-0.23161822006098065</v>
      </c>
      <c r="R29" s="328">
        <f t="shared" si="6"/>
        <v>-0.42084520232470446</v>
      </c>
      <c r="S29" s="327"/>
      <c r="T29" s="328">
        <f t="shared" si="7"/>
        <v>-0.91016682706336338</v>
      </c>
      <c r="U29" s="328">
        <f t="shared" si="8"/>
        <v>-0.75895911730005094</v>
      </c>
    </row>
    <row r="30" spans="1:21" x14ac:dyDescent="0.2">
      <c r="A30" s="329" t="str">
        <f>name!D25</f>
        <v>72 Customer service occupations</v>
      </c>
      <c r="B30" s="330">
        <v>25.319149292211911</v>
      </c>
      <c r="C30" s="330">
        <v>16.181729224749038</v>
      </c>
      <c r="D30" s="330">
        <f t="shared" si="0"/>
        <v>41.500878516960952</v>
      </c>
      <c r="E30" s="331"/>
      <c r="F30" s="330">
        <v>30.117099602872955</v>
      </c>
      <c r="G30" s="330">
        <v>17.595983402738995</v>
      </c>
      <c r="H30" s="330">
        <f t="shared" si="1"/>
        <v>47.713083005611949</v>
      </c>
      <c r="I30" s="331"/>
      <c r="J30" s="330">
        <v>41.946826210479621</v>
      </c>
      <c r="K30" s="330">
        <v>28.999600372833562</v>
      </c>
      <c r="L30" s="330">
        <f t="shared" si="2"/>
        <v>70.946426583313183</v>
      </c>
      <c r="M30" s="236"/>
      <c r="N30" s="328">
        <f t="shared" si="3"/>
        <v>3.5315717249290834</v>
      </c>
      <c r="O30" s="328">
        <f t="shared" si="4"/>
        <v>2.2333041834580625</v>
      </c>
      <c r="P30" s="328"/>
      <c r="Q30" s="328">
        <f t="shared" si="5"/>
        <v>1.6898771796864498</v>
      </c>
      <c r="R30" s="328">
        <f t="shared" si="6"/>
        <v>3.3868328353776178</v>
      </c>
      <c r="S30" s="327"/>
      <c r="T30" s="328">
        <f t="shared" si="7"/>
        <v>2.8291007509229971</v>
      </c>
      <c r="U30" s="328">
        <f t="shared" si="8"/>
        <v>2.6800811151747927</v>
      </c>
    </row>
    <row r="31" spans="1:21" x14ac:dyDescent="0.2">
      <c r="A31" s="329" t="str">
        <f>name!D26</f>
        <v>81 Process, plant and machine operatives</v>
      </c>
      <c r="B31" s="330">
        <v>15.073464624512367</v>
      </c>
      <c r="C31" s="330">
        <v>58.80669396073732</v>
      </c>
      <c r="D31" s="330">
        <f t="shared" si="0"/>
        <v>73.880158585249688</v>
      </c>
      <c r="E31" s="331"/>
      <c r="F31" s="330">
        <v>13.983572803948594</v>
      </c>
      <c r="G31" s="330">
        <v>48.598545951671234</v>
      </c>
      <c r="H31" s="330">
        <f t="shared" si="1"/>
        <v>62.582118755619831</v>
      </c>
      <c r="I31" s="331"/>
      <c r="J31" s="330">
        <v>20.195239971014729</v>
      </c>
      <c r="K31" s="330">
        <v>55.17016510188045</v>
      </c>
      <c r="L31" s="330">
        <f t="shared" si="2"/>
        <v>75.365405072895186</v>
      </c>
      <c r="M31" s="236"/>
      <c r="N31" s="328">
        <f t="shared" si="3"/>
        <v>-1.4898427419324012</v>
      </c>
      <c r="O31" s="328">
        <f t="shared" si="4"/>
        <v>2.480694052274024</v>
      </c>
      <c r="P31" s="328"/>
      <c r="Q31" s="328">
        <f t="shared" si="5"/>
        <v>-3.7414529174535027</v>
      </c>
      <c r="R31" s="328">
        <f t="shared" si="6"/>
        <v>0.84910937695172883</v>
      </c>
      <c r="S31" s="327"/>
      <c r="T31" s="328">
        <f t="shared" si="7"/>
        <v>-3.2648100731085261</v>
      </c>
      <c r="U31" s="328">
        <f t="shared" si="8"/>
        <v>1.2468340069772266</v>
      </c>
    </row>
    <row r="32" spans="1:21" x14ac:dyDescent="0.2">
      <c r="A32" s="329" t="str">
        <f>name!D27</f>
        <v>82 Transport and mobile machine drivers and operatives</v>
      </c>
      <c r="B32" s="330">
        <v>6.5481582675005141</v>
      </c>
      <c r="C32" s="330">
        <v>79.0711755821943</v>
      </c>
      <c r="D32" s="330">
        <f t="shared" si="0"/>
        <v>85.619333849694812</v>
      </c>
      <c r="E32" s="331"/>
      <c r="F32" s="330">
        <v>6.8896104109328249</v>
      </c>
      <c r="G32" s="330">
        <v>75.264032842464331</v>
      </c>
      <c r="H32" s="330">
        <f t="shared" si="1"/>
        <v>82.153643253397149</v>
      </c>
      <c r="I32" s="331"/>
      <c r="J32" s="330">
        <v>11.055035395075796</v>
      </c>
      <c r="K32" s="330">
        <v>79.085334594111487</v>
      </c>
      <c r="L32" s="330">
        <f t="shared" si="2"/>
        <v>90.140369989187278</v>
      </c>
      <c r="M32" s="236"/>
      <c r="N32" s="328">
        <f t="shared" si="3"/>
        <v>1.0217992723718483</v>
      </c>
      <c r="O32" s="328">
        <f t="shared" si="4"/>
        <v>3.202693354552455</v>
      </c>
      <c r="P32" s="328"/>
      <c r="Q32" s="328">
        <f t="shared" si="5"/>
        <v>-0.98206660727084838</v>
      </c>
      <c r="R32" s="328">
        <f t="shared" si="6"/>
        <v>0.33071288585566627</v>
      </c>
      <c r="S32" s="327"/>
      <c r="T32" s="328">
        <f t="shared" si="7"/>
        <v>-0.82299327557669999</v>
      </c>
      <c r="U32" s="328">
        <f t="shared" si="8"/>
        <v>0.62042960431500926</v>
      </c>
    </row>
    <row r="33" spans="1:21" x14ac:dyDescent="0.2">
      <c r="A33" s="329" t="str">
        <f>name!D28</f>
        <v>91 Elementary trades and related occupations</v>
      </c>
      <c r="B33" s="330">
        <v>13.248805979900995</v>
      </c>
      <c r="C33" s="330">
        <v>38.370613606560667</v>
      </c>
      <c r="D33" s="330">
        <f t="shared" si="0"/>
        <v>51.61941958646166</v>
      </c>
      <c r="E33" s="331"/>
      <c r="F33" s="330">
        <v>10.141628716064233</v>
      </c>
      <c r="G33" s="330">
        <v>31.028087080946303</v>
      </c>
      <c r="H33" s="330">
        <f t="shared" si="1"/>
        <v>41.169715797010539</v>
      </c>
      <c r="I33" s="331"/>
      <c r="J33" s="330">
        <v>9.4038464834095681</v>
      </c>
      <c r="K33" s="330">
        <v>26.858314047210502</v>
      </c>
      <c r="L33" s="330">
        <f t="shared" si="2"/>
        <v>36.262160530620072</v>
      </c>
      <c r="M33" s="236"/>
      <c r="N33" s="328">
        <f t="shared" si="3"/>
        <v>-5.2048335744563134</v>
      </c>
      <c r="O33" s="328">
        <f t="shared" si="4"/>
        <v>-0.50226641741453193</v>
      </c>
      <c r="P33" s="328"/>
      <c r="Q33" s="328">
        <f t="shared" si="5"/>
        <v>-4.1590187602310031</v>
      </c>
      <c r="R33" s="328">
        <f t="shared" si="6"/>
        <v>-0.95750252576249917</v>
      </c>
      <c r="S33" s="327"/>
      <c r="T33" s="328">
        <f t="shared" si="7"/>
        <v>-4.4230977639318052</v>
      </c>
      <c r="U33" s="328">
        <f t="shared" si="8"/>
        <v>-0.84261754039368642</v>
      </c>
    </row>
    <row r="34" spans="1:21" x14ac:dyDescent="0.2">
      <c r="A34" s="329" t="str">
        <f>name!D29</f>
        <v>92 Elementary administration and service occupations</v>
      </c>
      <c r="B34" s="330">
        <v>132.9010676204135</v>
      </c>
      <c r="C34" s="330">
        <v>135.0071387485128</v>
      </c>
      <c r="D34" s="330">
        <f t="shared" si="0"/>
        <v>267.9082063689263</v>
      </c>
      <c r="E34" s="331"/>
      <c r="F34" s="330">
        <v>130.40280638269709</v>
      </c>
      <c r="G34" s="330">
        <v>124.72453323532648</v>
      </c>
      <c r="H34" s="330">
        <f t="shared" si="1"/>
        <v>255.12733961802357</v>
      </c>
      <c r="I34" s="331"/>
      <c r="J34" s="330">
        <v>133.86498478731414</v>
      </c>
      <c r="K34" s="330">
        <v>129.73042974307211</v>
      </c>
      <c r="L34" s="330">
        <f t="shared" si="2"/>
        <v>263.59541453038628</v>
      </c>
      <c r="M34" s="236"/>
      <c r="N34" s="328">
        <f t="shared" si="3"/>
        <v>-0.37881723724844107</v>
      </c>
      <c r="O34" s="328">
        <f t="shared" si="4"/>
        <v>0.17484297366197055</v>
      </c>
      <c r="P34" s="328"/>
      <c r="Q34" s="328">
        <f t="shared" si="5"/>
        <v>-1.571916089311487</v>
      </c>
      <c r="R34" s="328">
        <f t="shared" si="6"/>
        <v>0.26268513962004469</v>
      </c>
      <c r="S34" s="327"/>
      <c r="T34" s="328">
        <f t="shared" si="7"/>
        <v>-0.97286904473026237</v>
      </c>
      <c r="U34" s="328">
        <f t="shared" si="8"/>
        <v>0.2179212062018987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2">
      <c r="A36" s="332" t="str">
        <f>name!D3</f>
        <v>All occupations</v>
      </c>
      <c r="B36" s="333">
        <f>SUM(B9:B34)</f>
        <v>1338.7239999977794</v>
      </c>
      <c r="C36" s="333">
        <f t="shared" ref="C36:D36" si="9">SUM(C9:C34)</f>
        <v>1479.1279999993342</v>
      </c>
      <c r="D36" s="333">
        <f t="shared" si="9"/>
        <v>2817.851999997114</v>
      </c>
      <c r="E36" s="333"/>
      <c r="F36" s="333">
        <f>SUM(F9:F34)</f>
        <v>1438.047999998086</v>
      </c>
      <c r="G36" s="333">
        <f t="shared" ref="G36:H36" si="10">SUM(G9:G34)</f>
        <v>1491.5389999983781</v>
      </c>
      <c r="H36" s="333">
        <f t="shared" si="10"/>
        <v>2929.5869999964648</v>
      </c>
      <c r="I36" s="333"/>
      <c r="J36" s="333">
        <f>SUM(J9:J34)</f>
        <v>1616.0950000008086</v>
      </c>
      <c r="K36" s="333">
        <f t="shared" ref="K36:L36" si="11">SUM(K9:K34)</f>
        <v>1623.9979999964846</v>
      </c>
      <c r="L36" s="333">
        <f t="shared" si="11"/>
        <v>3240.0929999972927</v>
      </c>
      <c r="M36" s="258"/>
      <c r="N36" s="334">
        <f t="shared" si="3"/>
        <v>1.441687842603856</v>
      </c>
      <c r="O36" s="334">
        <f t="shared" si="4"/>
        <v>0.78120969043034005</v>
      </c>
      <c r="P36" s="334"/>
      <c r="Q36" s="334">
        <f t="shared" si="5"/>
        <v>0.16725467199130151</v>
      </c>
      <c r="R36" s="334">
        <f t="shared" si="6"/>
        <v>0.56882863707150566</v>
      </c>
      <c r="S36" s="334"/>
      <c r="T36" s="334">
        <f t="shared" si="7"/>
        <v>0.78076348315760935</v>
      </c>
      <c r="U36" s="334">
        <f t="shared" si="8"/>
        <v>0.6738641534223655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2"/>
      <c r="C40" s="372"/>
      <c r="D40" s="372"/>
      <c r="E40" s="253"/>
      <c r="F40" s="372"/>
      <c r="G40" s="372"/>
      <c r="H40" s="372"/>
      <c r="I40" s="253"/>
      <c r="J40" s="372"/>
      <c r="K40" s="372"/>
      <c r="L40" s="372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2"/>
      <c r="C57" s="372"/>
      <c r="D57" s="372"/>
      <c r="E57" s="253"/>
      <c r="F57" s="372"/>
      <c r="G57" s="372"/>
      <c r="H57" s="372"/>
      <c r="I57" s="253"/>
      <c r="J57" s="372"/>
      <c r="K57" s="372"/>
      <c r="L57" s="372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2"/>
      <c r="C74" s="372"/>
      <c r="D74" s="372"/>
      <c r="E74" s="253"/>
      <c r="F74" s="372"/>
      <c r="G74" s="372"/>
      <c r="H74" s="372"/>
      <c r="I74" s="253"/>
      <c r="J74" s="372"/>
      <c r="K74" s="372"/>
      <c r="L74" s="372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2"/>
      <c r="C91" s="372"/>
      <c r="D91" s="372"/>
      <c r="E91" s="253"/>
      <c r="F91" s="372"/>
      <c r="G91" s="372"/>
      <c r="H91" s="372"/>
      <c r="I91" s="253"/>
      <c r="J91" s="372"/>
      <c r="K91" s="372"/>
      <c r="L91" s="372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2"/>
      <c r="C108" s="372"/>
      <c r="D108" s="372"/>
      <c r="E108" s="253"/>
      <c r="F108" s="372"/>
      <c r="G108" s="372"/>
      <c r="H108" s="372"/>
      <c r="I108" s="253"/>
      <c r="J108" s="372"/>
      <c r="K108" s="372"/>
      <c r="L108" s="372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2"/>
      <c r="C125" s="372"/>
      <c r="D125" s="372"/>
      <c r="E125" s="253"/>
      <c r="F125" s="372"/>
      <c r="G125" s="372"/>
      <c r="H125" s="372"/>
      <c r="I125" s="253"/>
      <c r="J125" s="372"/>
      <c r="K125" s="372"/>
      <c r="L125" s="372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2"/>
      <c r="C142" s="372"/>
      <c r="D142" s="372"/>
      <c r="E142" s="253"/>
      <c r="F142" s="372"/>
      <c r="G142" s="372"/>
      <c r="H142" s="372"/>
      <c r="I142" s="253"/>
      <c r="J142" s="372"/>
      <c r="K142" s="372"/>
      <c r="L142" s="372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2"/>
      <c r="C159" s="372"/>
      <c r="D159" s="372"/>
      <c r="E159" s="253"/>
      <c r="F159" s="372"/>
      <c r="G159" s="372"/>
      <c r="H159" s="372"/>
      <c r="I159" s="253"/>
      <c r="J159" s="372"/>
      <c r="K159" s="372"/>
      <c r="L159" s="372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2"/>
      <c r="C176" s="372"/>
      <c r="D176" s="372"/>
      <c r="E176" s="253"/>
      <c r="F176" s="372"/>
      <c r="G176" s="372"/>
      <c r="H176" s="372"/>
      <c r="I176" s="253"/>
      <c r="J176" s="372"/>
      <c r="K176" s="372"/>
      <c r="L176" s="372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2"/>
      <c r="C193" s="372"/>
      <c r="D193" s="372"/>
      <c r="E193" s="253"/>
      <c r="F193" s="372"/>
      <c r="G193" s="372"/>
      <c r="H193" s="372"/>
      <c r="I193" s="253"/>
      <c r="J193" s="372"/>
      <c r="K193" s="372"/>
      <c r="L193" s="372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2"/>
      <c r="C210" s="372"/>
      <c r="D210" s="372"/>
      <c r="E210" s="253"/>
      <c r="F210" s="372"/>
      <c r="G210" s="372"/>
      <c r="H210" s="372"/>
      <c r="I210" s="253"/>
      <c r="J210" s="372"/>
      <c r="K210" s="372"/>
      <c r="L210" s="372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2"/>
      <c r="C227" s="372"/>
      <c r="D227" s="372"/>
      <c r="E227" s="253"/>
      <c r="F227" s="372"/>
      <c r="G227" s="372"/>
      <c r="H227" s="372"/>
      <c r="I227" s="253"/>
      <c r="J227" s="372"/>
      <c r="K227" s="372"/>
      <c r="L227" s="372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2"/>
      <c r="C244" s="372"/>
      <c r="D244" s="372"/>
      <c r="E244" s="253"/>
      <c r="F244" s="372"/>
      <c r="G244" s="372"/>
      <c r="H244" s="372"/>
      <c r="I244" s="253"/>
      <c r="J244" s="372"/>
      <c r="K244" s="372"/>
      <c r="L244" s="372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2"/>
      <c r="C261" s="372"/>
      <c r="D261" s="372"/>
      <c r="E261" s="253"/>
      <c r="F261" s="372"/>
      <c r="G261" s="372"/>
      <c r="H261" s="372"/>
      <c r="I261" s="253"/>
      <c r="J261" s="372"/>
      <c r="K261" s="372"/>
      <c r="L261" s="372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2"/>
      <c r="C278" s="372"/>
      <c r="D278" s="372"/>
      <c r="E278" s="253"/>
      <c r="F278" s="372"/>
      <c r="G278" s="372"/>
      <c r="H278" s="372"/>
      <c r="I278" s="253"/>
      <c r="J278" s="372"/>
      <c r="K278" s="372"/>
      <c r="L278" s="372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2"/>
      <c r="C295" s="372"/>
      <c r="D295" s="372"/>
      <c r="E295" s="253"/>
      <c r="F295" s="372"/>
      <c r="G295" s="372"/>
      <c r="H295" s="372"/>
      <c r="I295" s="253"/>
      <c r="J295" s="372"/>
      <c r="K295" s="372"/>
      <c r="L295" s="372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2"/>
      <c r="C312" s="372"/>
      <c r="D312" s="372"/>
      <c r="E312" s="253"/>
      <c r="F312" s="372"/>
      <c r="G312" s="372"/>
      <c r="H312" s="372"/>
      <c r="I312" s="253"/>
      <c r="J312" s="372"/>
      <c r="K312" s="372"/>
      <c r="L312" s="372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2"/>
      <c r="C329" s="372"/>
      <c r="D329" s="372"/>
      <c r="E329" s="253"/>
      <c r="F329" s="372"/>
      <c r="G329" s="372"/>
      <c r="H329" s="372"/>
      <c r="I329" s="253"/>
      <c r="J329" s="372"/>
      <c r="K329" s="372"/>
      <c r="L329" s="372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2"/>
      <c r="C346" s="372"/>
      <c r="D346" s="372"/>
      <c r="E346" s="253"/>
      <c r="F346" s="372"/>
      <c r="G346" s="372"/>
      <c r="H346" s="372"/>
      <c r="I346" s="253"/>
      <c r="J346" s="372"/>
      <c r="K346" s="372"/>
      <c r="L346" s="372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2"/>
      <c r="C363" s="372"/>
      <c r="D363" s="372"/>
      <c r="E363" s="253"/>
      <c r="F363" s="372"/>
      <c r="G363" s="372"/>
      <c r="H363" s="372"/>
      <c r="I363" s="253"/>
      <c r="J363" s="372"/>
      <c r="K363" s="372"/>
      <c r="L363" s="372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2"/>
      <c r="C380" s="372"/>
      <c r="D380" s="372"/>
      <c r="E380" s="253"/>
      <c r="F380" s="372"/>
      <c r="G380" s="372"/>
      <c r="H380" s="372"/>
      <c r="I380" s="253"/>
      <c r="J380" s="372"/>
      <c r="K380" s="372"/>
      <c r="L380" s="372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2"/>
      <c r="C397" s="372"/>
      <c r="D397" s="372"/>
      <c r="E397" s="253"/>
      <c r="F397" s="372"/>
      <c r="G397" s="372"/>
      <c r="H397" s="372"/>
      <c r="I397" s="253"/>
      <c r="J397" s="372"/>
      <c r="K397" s="372"/>
      <c r="L397" s="372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2"/>
      <c r="C414" s="372"/>
      <c r="D414" s="372"/>
      <c r="E414" s="253"/>
      <c r="F414" s="372"/>
      <c r="G414" s="372"/>
      <c r="H414" s="372"/>
      <c r="I414" s="253"/>
      <c r="J414" s="372"/>
      <c r="K414" s="372"/>
      <c r="L414" s="372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2"/>
      <c r="C431" s="372"/>
      <c r="D431" s="372"/>
      <c r="E431" s="253"/>
      <c r="F431" s="372"/>
      <c r="G431" s="372"/>
      <c r="H431" s="372"/>
      <c r="I431" s="253"/>
      <c r="J431" s="372"/>
      <c r="K431" s="372"/>
      <c r="L431" s="372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2"/>
      <c r="C448" s="372"/>
      <c r="D448" s="372"/>
      <c r="E448" s="253"/>
      <c r="F448" s="372"/>
      <c r="G448" s="372"/>
      <c r="H448" s="372"/>
      <c r="I448" s="253"/>
      <c r="J448" s="372"/>
      <c r="K448" s="372"/>
      <c r="L448" s="372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2"/>
      <c r="C465" s="372"/>
      <c r="D465" s="372"/>
      <c r="E465" s="253"/>
      <c r="F465" s="372"/>
      <c r="G465" s="372"/>
      <c r="H465" s="372"/>
      <c r="I465" s="253"/>
      <c r="J465" s="372"/>
      <c r="K465" s="372"/>
      <c r="L465" s="372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2"/>
      <c r="C482" s="372"/>
      <c r="D482" s="372"/>
      <c r="E482" s="253"/>
      <c r="F482" s="372"/>
      <c r="G482" s="372"/>
      <c r="H482" s="372"/>
      <c r="I482" s="253"/>
      <c r="J482" s="372"/>
      <c r="K482" s="372"/>
      <c r="L482" s="372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2"/>
      <c r="C499" s="372"/>
      <c r="D499" s="372"/>
      <c r="E499" s="253"/>
      <c r="F499" s="372"/>
      <c r="G499" s="372"/>
      <c r="H499" s="372"/>
      <c r="I499" s="253"/>
      <c r="J499" s="372"/>
      <c r="K499" s="372"/>
      <c r="L499" s="372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2"/>
      <c r="C516" s="372"/>
      <c r="D516" s="372"/>
      <c r="E516" s="253"/>
      <c r="F516" s="372"/>
      <c r="G516" s="372"/>
      <c r="H516" s="372"/>
      <c r="I516" s="253"/>
      <c r="J516" s="372"/>
      <c r="K516" s="372"/>
      <c r="L516" s="372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2"/>
      <c r="C533" s="372"/>
      <c r="D533" s="372"/>
      <c r="E533" s="253"/>
      <c r="F533" s="372"/>
      <c r="G533" s="372"/>
      <c r="H533" s="372"/>
      <c r="I533" s="253"/>
      <c r="J533" s="372"/>
      <c r="K533" s="372"/>
      <c r="L533" s="372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2"/>
      <c r="C550" s="372"/>
      <c r="D550" s="372"/>
      <c r="E550" s="253"/>
      <c r="F550" s="372"/>
      <c r="G550" s="372"/>
      <c r="H550" s="372"/>
      <c r="I550" s="253"/>
      <c r="J550" s="372"/>
      <c r="K550" s="372"/>
      <c r="L550" s="372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2"/>
      <c r="C567" s="372"/>
      <c r="D567" s="372"/>
      <c r="E567" s="253"/>
      <c r="F567" s="372"/>
      <c r="G567" s="372"/>
      <c r="H567" s="372"/>
      <c r="I567" s="253"/>
      <c r="J567" s="372"/>
      <c r="K567" s="372"/>
      <c r="L567" s="372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2"/>
      <c r="C584" s="372"/>
      <c r="D584" s="372"/>
      <c r="E584" s="253"/>
      <c r="F584" s="372"/>
      <c r="G584" s="372"/>
      <c r="H584" s="372"/>
      <c r="I584" s="253"/>
      <c r="J584" s="372"/>
      <c r="K584" s="372"/>
      <c r="L584" s="372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2"/>
      <c r="C601" s="372"/>
      <c r="D601" s="372"/>
      <c r="E601" s="253"/>
      <c r="F601" s="372"/>
      <c r="G601" s="372"/>
      <c r="H601" s="372"/>
      <c r="I601" s="253"/>
      <c r="J601" s="372"/>
      <c r="K601" s="372"/>
      <c r="L601" s="372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2"/>
      <c r="C618" s="372"/>
      <c r="D618" s="372"/>
      <c r="E618" s="253"/>
      <c r="F618" s="372"/>
      <c r="G618" s="372"/>
      <c r="H618" s="372"/>
      <c r="I618" s="253"/>
      <c r="J618" s="372"/>
      <c r="K618" s="372"/>
      <c r="L618" s="372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2"/>
      <c r="C635" s="372"/>
      <c r="D635" s="372"/>
      <c r="E635" s="253"/>
      <c r="F635" s="372"/>
      <c r="G635" s="372"/>
      <c r="H635" s="372"/>
      <c r="I635" s="253"/>
      <c r="J635" s="372"/>
      <c r="K635" s="372"/>
      <c r="L635" s="372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2"/>
      <c r="C652" s="372"/>
      <c r="D652" s="372"/>
      <c r="E652" s="253"/>
      <c r="F652" s="372"/>
      <c r="G652" s="372"/>
      <c r="H652" s="372"/>
      <c r="I652" s="253"/>
      <c r="J652" s="372"/>
      <c r="K652" s="372"/>
      <c r="L652" s="372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2"/>
      <c r="C669" s="372"/>
      <c r="D669" s="372"/>
      <c r="E669" s="253"/>
      <c r="F669" s="372"/>
      <c r="G669" s="372"/>
      <c r="H669" s="372"/>
      <c r="I669" s="253"/>
      <c r="J669" s="372"/>
      <c r="K669" s="372"/>
      <c r="L669" s="372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2"/>
      <c r="C686" s="372"/>
      <c r="D686" s="372"/>
      <c r="E686" s="253"/>
      <c r="F686" s="372"/>
      <c r="G686" s="372"/>
      <c r="H686" s="372"/>
      <c r="I686" s="253"/>
      <c r="J686" s="372"/>
      <c r="K686" s="372"/>
      <c r="L686" s="372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2"/>
      <c r="C703" s="372"/>
      <c r="D703" s="372"/>
      <c r="E703" s="253"/>
      <c r="F703" s="372"/>
      <c r="G703" s="372"/>
      <c r="H703" s="372"/>
      <c r="I703" s="253"/>
      <c r="J703" s="372"/>
      <c r="K703" s="372"/>
      <c r="L703" s="372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2"/>
      <c r="C720" s="372"/>
      <c r="D720" s="372"/>
      <c r="E720" s="253"/>
      <c r="F720" s="372"/>
      <c r="G720" s="372"/>
      <c r="H720" s="372"/>
      <c r="I720" s="253"/>
      <c r="J720" s="372"/>
      <c r="K720" s="372"/>
      <c r="L720" s="372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2"/>
      <c r="C737" s="372"/>
      <c r="D737" s="372"/>
      <c r="E737" s="253"/>
      <c r="F737" s="372"/>
      <c r="G737" s="372"/>
      <c r="H737" s="372"/>
      <c r="I737" s="253"/>
      <c r="J737" s="372"/>
      <c r="K737" s="372"/>
      <c r="L737" s="372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2"/>
      <c r="C754" s="372"/>
      <c r="D754" s="372"/>
      <c r="E754" s="253"/>
      <c r="F754" s="372"/>
      <c r="G754" s="372"/>
      <c r="H754" s="372"/>
      <c r="I754" s="253"/>
      <c r="J754" s="372"/>
      <c r="K754" s="372"/>
      <c r="L754" s="372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2"/>
      <c r="C771" s="372"/>
      <c r="D771" s="372"/>
      <c r="E771" s="253"/>
      <c r="F771" s="372"/>
      <c r="G771" s="372"/>
      <c r="H771" s="372"/>
      <c r="I771" s="253"/>
      <c r="J771" s="372"/>
      <c r="K771" s="372"/>
      <c r="L771" s="372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2"/>
      <c r="C788" s="372"/>
      <c r="D788" s="372"/>
      <c r="E788" s="253"/>
      <c r="F788" s="372"/>
      <c r="G788" s="372"/>
      <c r="H788" s="372"/>
      <c r="I788" s="253"/>
      <c r="J788" s="372"/>
      <c r="K788" s="372"/>
      <c r="L788" s="372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2"/>
      <c r="C805" s="372"/>
      <c r="D805" s="372"/>
      <c r="E805" s="253"/>
      <c r="F805" s="372"/>
      <c r="G805" s="372"/>
      <c r="H805" s="372"/>
      <c r="I805" s="253"/>
      <c r="J805" s="372"/>
      <c r="K805" s="372"/>
      <c r="L805" s="372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2"/>
      <c r="C822" s="372"/>
      <c r="D822" s="372"/>
      <c r="E822" s="253"/>
      <c r="F822" s="372"/>
      <c r="G822" s="372"/>
      <c r="H822" s="372"/>
      <c r="I822" s="253"/>
      <c r="J822" s="372"/>
      <c r="K822" s="372"/>
      <c r="L822" s="372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2"/>
      <c r="C839" s="372"/>
      <c r="D839" s="372"/>
      <c r="E839" s="253"/>
      <c r="F839" s="372"/>
      <c r="G839" s="372"/>
      <c r="H839" s="372"/>
      <c r="I839" s="253"/>
      <c r="J839" s="372"/>
      <c r="K839" s="372"/>
      <c r="L839" s="372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2"/>
      <c r="C856" s="372"/>
      <c r="D856" s="372"/>
      <c r="E856" s="253"/>
      <c r="F856" s="372"/>
      <c r="G856" s="372"/>
      <c r="H856" s="372"/>
      <c r="I856" s="253"/>
      <c r="J856" s="372"/>
      <c r="K856" s="372"/>
      <c r="L856" s="372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2"/>
      <c r="C873" s="372"/>
      <c r="D873" s="372"/>
      <c r="E873" s="253"/>
      <c r="F873" s="372"/>
      <c r="G873" s="372"/>
      <c r="H873" s="372"/>
      <c r="I873" s="253"/>
      <c r="J873" s="372"/>
      <c r="K873" s="372"/>
      <c r="L873" s="372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2"/>
      <c r="C890" s="372"/>
      <c r="D890" s="372"/>
      <c r="E890" s="253"/>
      <c r="F890" s="372"/>
      <c r="G890" s="372"/>
      <c r="H890" s="372"/>
      <c r="I890" s="253"/>
      <c r="J890" s="372"/>
      <c r="K890" s="372"/>
      <c r="L890" s="372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2"/>
      <c r="C907" s="372"/>
      <c r="D907" s="372"/>
      <c r="E907" s="253"/>
      <c r="F907" s="372"/>
      <c r="G907" s="372"/>
      <c r="H907" s="372"/>
      <c r="I907" s="253"/>
      <c r="J907" s="372"/>
      <c r="K907" s="372"/>
      <c r="L907" s="372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2"/>
      <c r="C924" s="372"/>
      <c r="D924" s="372"/>
      <c r="E924" s="253"/>
      <c r="F924" s="372"/>
      <c r="G924" s="372"/>
      <c r="H924" s="372"/>
      <c r="I924" s="253"/>
      <c r="J924" s="372"/>
      <c r="K924" s="372"/>
      <c r="L924" s="372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2"/>
      <c r="C941" s="372"/>
      <c r="D941" s="372"/>
      <c r="E941" s="253"/>
      <c r="F941" s="372"/>
      <c r="G941" s="372"/>
      <c r="H941" s="372"/>
      <c r="I941" s="253"/>
      <c r="J941" s="372"/>
      <c r="K941" s="372"/>
      <c r="L941" s="372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2"/>
      <c r="C958" s="372"/>
      <c r="D958" s="372"/>
      <c r="E958" s="253"/>
      <c r="F958" s="372"/>
      <c r="G958" s="372"/>
      <c r="H958" s="372"/>
      <c r="I958" s="253"/>
      <c r="J958" s="372"/>
      <c r="K958" s="372"/>
      <c r="L958" s="372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2"/>
      <c r="C975" s="372"/>
      <c r="D975" s="372"/>
      <c r="E975" s="253"/>
      <c r="F975" s="372"/>
      <c r="G975" s="372"/>
      <c r="H975" s="372"/>
      <c r="I975" s="253"/>
      <c r="J975" s="372"/>
      <c r="K975" s="372"/>
      <c r="L975" s="372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2"/>
      <c r="C992" s="372"/>
      <c r="D992" s="372"/>
      <c r="E992" s="253"/>
      <c r="F992" s="372"/>
      <c r="G992" s="372"/>
      <c r="H992" s="372"/>
      <c r="I992" s="253"/>
      <c r="J992" s="372"/>
      <c r="K992" s="372"/>
      <c r="L992" s="372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2"/>
      <c r="C1009" s="372"/>
      <c r="D1009" s="372"/>
      <c r="E1009" s="253"/>
      <c r="F1009" s="372"/>
      <c r="G1009" s="372"/>
      <c r="H1009" s="372"/>
      <c r="I1009" s="253"/>
      <c r="J1009" s="372"/>
      <c r="K1009" s="372"/>
      <c r="L1009" s="372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2"/>
      <c r="C1026" s="372"/>
      <c r="D1026" s="372"/>
      <c r="E1026" s="253"/>
      <c r="F1026" s="372"/>
      <c r="G1026" s="372"/>
      <c r="H1026" s="372"/>
      <c r="I1026" s="253"/>
      <c r="J1026" s="372"/>
      <c r="K1026" s="372"/>
      <c r="L1026" s="372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2"/>
      <c r="C1043" s="372"/>
      <c r="D1043" s="372"/>
      <c r="E1043" s="253"/>
      <c r="F1043" s="372"/>
      <c r="G1043" s="372"/>
      <c r="H1043" s="372"/>
      <c r="I1043" s="253"/>
      <c r="J1043" s="372"/>
      <c r="K1043" s="372"/>
      <c r="L1043" s="372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2"/>
      <c r="C1060" s="372"/>
      <c r="D1060" s="372"/>
      <c r="E1060" s="253"/>
      <c r="F1060" s="372"/>
      <c r="G1060" s="372"/>
      <c r="H1060" s="372"/>
      <c r="I1060" s="253"/>
      <c r="J1060" s="372"/>
      <c r="K1060" s="372"/>
      <c r="L1060" s="372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2"/>
      <c r="C1077" s="372"/>
      <c r="D1077" s="372"/>
      <c r="E1077" s="253"/>
      <c r="F1077" s="372"/>
      <c r="G1077" s="372"/>
      <c r="H1077" s="372"/>
      <c r="I1077" s="253"/>
      <c r="J1077" s="372"/>
      <c r="K1077" s="372"/>
      <c r="L1077" s="372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2"/>
      <c r="C1094" s="372"/>
      <c r="D1094" s="372"/>
      <c r="E1094" s="253"/>
      <c r="F1094" s="372"/>
      <c r="G1094" s="372"/>
      <c r="H1094" s="372"/>
      <c r="I1094" s="253"/>
      <c r="J1094" s="372"/>
      <c r="K1094" s="372"/>
      <c r="L1094" s="372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2"/>
      <c r="C1111" s="372"/>
      <c r="D1111" s="372"/>
      <c r="E1111" s="253"/>
      <c r="F1111" s="372"/>
      <c r="G1111" s="372"/>
      <c r="H1111" s="372"/>
      <c r="I1111" s="253"/>
      <c r="J1111" s="372"/>
      <c r="K1111" s="372"/>
      <c r="L1111" s="372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2"/>
      <c r="C1128" s="372"/>
      <c r="D1128" s="372"/>
      <c r="E1128" s="253"/>
      <c r="F1128" s="372"/>
      <c r="G1128" s="372"/>
      <c r="H1128" s="372"/>
      <c r="I1128" s="253"/>
      <c r="J1128" s="372"/>
      <c r="K1128" s="372"/>
      <c r="L1128" s="372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2"/>
      <c r="C1145" s="372"/>
      <c r="D1145" s="372"/>
      <c r="E1145" s="253"/>
      <c r="F1145" s="372"/>
      <c r="G1145" s="372"/>
      <c r="H1145" s="372"/>
      <c r="I1145" s="253"/>
      <c r="J1145" s="372"/>
      <c r="K1145" s="372"/>
      <c r="L1145" s="372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2"/>
      <c r="C1162" s="372"/>
      <c r="D1162" s="372"/>
      <c r="E1162" s="253"/>
      <c r="F1162" s="372"/>
      <c r="G1162" s="372"/>
      <c r="H1162" s="372"/>
      <c r="I1162" s="253"/>
      <c r="J1162" s="372"/>
      <c r="K1162" s="372"/>
      <c r="L1162" s="372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2"/>
      <c r="C1179" s="372"/>
      <c r="D1179" s="372"/>
      <c r="E1179" s="253"/>
      <c r="F1179" s="372"/>
      <c r="G1179" s="372"/>
      <c r="H1179" s="372"/>
      <c r="I1179" s="253"/>
      <c r="J1179" s="372"/>
      <c r="K1179" s="372"/>
      <c r="L1179" s="372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2"/>
      <c r="C1196" s="372"/>
      <c r="D1196" s="372"/>
      <c r="E1196" s="253"/>
      <c r="F1196" s="372"/>
      <c r="G1196" s="372"/>
      <c r="H1196" s="372"/>
      <c r="I1196" s="253"/>
      <c r="J1196" s="372"/>
      <c r="K1196" s="372"/>
      <c r="L1196" s="372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2"/>
      <c r="C1213" s="372"/>
      <c r="D1213" s="372"/>
      <c r="E1213" s="253"/>
      <c r="F1213" s="372"/>
      <c r="G1213" s="372"/>
      <c r="H1213" s="372"/>
      <c r="I1213" s="253"/>
      <c r="J1213" s="372"/>
      <c r="K1213" s="372"/>
      <c r="L1213" s="372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2"/>
      <c r="C1230" s="372"/>
      <c r="D1230" s="372"/>
      <c r="E1230" s="253"/>
      <c r="F1230" s="372"/>
      <c r="G1230" s="372"/>
      <c r="H1230" s="372"/>
      <c r="I1230" s="253"/>
      <c r="J1230" s="372"/>
      <c r="K1230" s="372"/>
      <c r="L1230" s="372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2"/>
      <c r="C1247" s="372"/>
      <c r="D1247" s="372"/>
      <c r="E1247" s="253"/>
      <c r="F1247" s="372"/>
      <c r="G1247" s="372"/>
      <c r="H1247" s="372"/>
      <c r="I1247" s="253"/>
      <c r="J1247" s="372"/>
      <c r="K1247" s="372"/>
      <c r="L1247" s="372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2"/>
      <c r="C1264" s="372"/>
      <c r="D1264" s="372"/>
      <c r="E1264" s="253"/>
      <c r="F1264" s="372"/>
      <c r="G1264" s="372"/>
      <c r="H1264" s="372"/>
      <c r="I1264" s="253"/>
      <c r="J1264" s="372"/>
      <c r="K1264" s="372"/>
      <c r="L1264" s="372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2"/>
      <c r="C1281" s="372"/>
      <c r="D1281" s="372"/>
      <c r="E1281" s="253"/>
      <c r="F1281" s="372"/>
      <c r="G1281" s="372"/>
      <c r="H1281" s="372"/>
      <c r="I1281" s="253"/>
      <c r="J1281" s="372"/>
      <c r="K1281" s="372"/>
      <c r="L1281" s="372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2"/>
      <c r="C1298" s="372"/>
      <c r="D1298" s="372"/>
      <c r="E1298" s="253"/>
      <c r="F1298" s="372"/>
      <c r="G1298" s="372"/>
      <c r="H1298" s="372"/>
      <c r="I1298" s="253"/>
      <c r="J1298" s="372"/>
      <c r="K1298" s="372"/>
      <c r="L1298" s="372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2" width="5.7109375" bestFit="1" customWidth="1"/>
    <col min="3" max="4" width="4.140625" bestFit="1" customWidth="1"/>
    <col min="5" max="5" width="5.7109375" bestFit="1" customWidth="1"/>
    <col min="6" max="6" width="2.85546875" customWidth="1"/>
    <col min="7" max="7" width="5.7109375" bestFit="1" customWidth="1"/>
    <col min="8" max="9" width="4.140625" bestFit="1" customWidth="1"/>
    <col min="10" max="10" width="5.7109375" bestFit="1" customWidth="1"/>
    <col min="11" max="11" width="2.85546875" customWidth="1"/>
    <col min="12" max="12" width="5.7109375" bestFit="1" customWidth="1"/>
    <col min="13" max="14" width="4.140625" bestFit="1" customWidth="1"/>
    <col min="15" max="15" width="5.7109375" bestFit="1" customWidth="1"/>
    <col min="16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8" t="str">
        <f>CONCATENATE("Occupation Table 5  Employment Change by Status (SOC 2020), ",B$5,"-",L$5,", ",Info!B5)</f>
        <v>Occupation Table 5  Employment Change by Status (SOC 2020), 2015-2035, South West</v>
      </c>
      <c r="Q1" s="18" t="str">
        <f>CONCATENATE("Occupation Table 5.1  Males: Employment Change by Status (SOC 2020), ",B$5,"-",L$5,", ",Info!B5)</f>
        <v>Occupation Table 5.1  Males: Employment Change by Status (SOC 2020), 2015-2035, South West</v>
      </c>
      <c r="AG1" s="18" t="str">
        <f>CONCATENATE("Occupation Table 5.2  Females: Employment Change by Status (SOC 2020), ",R$5,"-",AB$5,", ",Info!B5)</f>
        <v>Occupation Table 5.2  Females: Employment Change by Status (SOC 2020), 2015-2035, South West</v>
      </c>
    </row>
    <row r="2" spans="1:47" x14ac:dyDescent="0.2">
      <c r="A2" s="1" t="s">
        <v>536</v>
      </c>
    </row>
    <row r="3" spans="1:47" x14ac:dyDescent="0.2">
      <c r="O3" s="15" t="s">
        <v>35</v>
      </c>
      <c r="AE3" s="15" t="s">
        <v>35</v>
      </c>
      <c r="AU3" s="15" t="s">
        <v>35</v>
      </c>
    </row>
    <row r="4" spans="1:47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2">
      <c r="B5" s="375">
        <v>2015</v>
      </c>
      <c r="C5" s="375"/>
      <c r="D5" s="375"/>
      <c r="E5" s="375"/>
      <c r="F5" s="1"/>
      <c r="G5" s="375">
        <v>2020</v>
      </c>
      <c r="H5" s="375"/>
      <c r="I5" s="375"/>
      <c r="J5" s="375"/>
      <c r="K5" s="1"/>
      <c r="L5" s="375">
        <v>2035</v>
      </c>
      <c r="M5" s="375"/>
      <c r="N5" s="375"/>
      <c r="O5" s="375"/>
      <c r="R5" s="375">
        <f>B5</f>
        <v>2015</v>
      </c>
      <c r="S5" s="375"/>
      <c r="T5" s="375"/>
      <c r="U5" s="375"/>
      <c r="V5" s="1"/>
      <c r="W5" s="375">
        <f>G5</f>
        <v>2020</v>
      </c>
      <c r="X5" s="375"/>
      <c r="Y5" s="375"/>
      <c r="Z5" s="375"/>
      <c r="AA5" s="1"/>
      <c r="AB5" s="375">
        <f>L5</f>
        <v>2035</v>
      </c>
      <c r="AC5" s="375"/>
      <c r="AD5" s="375"/>
      <c r="AE5" s="375"/>
      <c r="AH5" s="375">
        <f>B5</f>
        <v>2015</v>
      </c>
      <c r="AI5" s="375"/>
      <c r="AJ5" s="375"/>
      <c r="AK5" s="375"/>
      <c r="AL5" s="1"/>
      <c r="AM5" s="375">
        <f>G5</f>
        <v>2020</v>
      </c>
      <c r="AN5" s="375"/>
      <c r="AO5" s="375"/>
      <c r="AP5" s="375"/>
      <c r="AQ5" s="1"/>
      <c r="AR5" s="375">
        <f>L5</f>
        <v>2035</v>
      </c>
      <c r="AS5" s="375"/>
      <c r="AT5" s="375"/>
      <c r="AU5" s="375"/>
    </row>
    <row r="6" spans="1:47" x14ac:dyDescent="0.2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187.62981823199041</v>
      </c>
      <c r="C8" s="11">
        <v>26.882596316025918</v>
      </c>
      <c r="D8" s="11">
        <v>67.205545812840171</v>
      </c>
      <c r="E8" s="11">
        <f>SUM(B8:D8)</f>
        <v>281.71796036085652</v>
      </c>
      <c r="F8" s="11"/>
      <c r="G8" s="11">
        <v>216.9688104203868</v>
      </c>
      <c r="H8" s="11">
        <v>41.805579349394186</v>
      </c>
      <c r="I8" s="11">
        <v>77.897268303092943</v>
      </c>
      <c r="J8" s="11">
        <f>SUM(G8:I8)</f>
        <v>336.67165807287392</v>
      </c>
      <c r="K8" s="11"/>
      <c r="L8" s="11">
        <v>248.93589677303362</v>
      </c>
      <c r="M8" s="11">
        <v>54.876926495916223</v>
      </c>
      <c r="N8" s="11">
        <v>90.336305842974653</v>
      </c>
      <c r="O8" s="11">
        <f>SUM(L8:N8)</f>
        <v>394.14912911192448</v>
      </c>
      <c r="Q8" s="10" t="str">
        <f>name!E4</f>
        <v>Managers, directors and senior officials</v>
      </c>
      <c r="R8" s="11">
        <v>141.34512724839897</v>
      </c>
      <c r="S8" s="11">
        <v>9.4242864277706904</v>
      </c>
      <c r="T8" s="11">
        <v>40.706529238682663</v>
      </c>
      <c r="U8" s="11">
        <f>SUM(R8:T8)</f>
        <v>191.47594291485231</v>
      </c>
      <c r="V8" s="11"/>
      <c r="W8" s="11">
        <v>159.35445967280305</v>
      </c>
      <c r="X8" s="11">
        <v>15.11099047905895</v>
      </c>
      <c r="Y8" s="11">
        <v>40.709266776194347</v>
      </c>
      <c r="Z8" s="11">
        <f>SUM(W8:Y8)</f>
        <v>215.17471692805634</v>
      </c>
      <c r="AA8" s="11"/>
      <c r="AB8" s="11">
        <v>173.24595959930573</v>
      </c>
      <c r="AC8" s="11">
        <v>21.516711323905714</v>
      </c>
      <c r="AD8" s="11">
        <v>50.394399349347047</v>
      </c>
      <c r="AE8" s="11">
        <f>SUM(AB8:AD8)</f>
        <v>245.15707027255851</v>
      </c>
      <c r="AG8" s="10" t="str">
        <f>name!E4</f>
        <v>Managers, directors and senior officials</v>
      </c>
      <c r="AH8" s="11">
        <v>46.284690983591503</v>
      </c>
      <c r="AI8" s="11">
        <v>17.458309888255236</v>
      </c>
      <c r="AJ8" s="11">
        <v>26.499016574157473</v>
      </c>
      <c r="AK8" s="11">
        <f>SUM(AH8:AJ8)</f>
        <v>90.242017446004212</v>
      </c>
      <c r="AL8" s="11"/>
      <c r="AM8" s="11">
        <v>57.614350747583586</v>
      </c>
      <c r="AN8" s="11">
        <v>26.694588870335206</v>
      </c>
      <c r="AO8" s="11">
        <v>37.188001526898603</v>
      </c>
      <c r="AP8" s="11">
        <f>SUM(AM8:AO8)</f>
        <v>121.4969411448174</v>
      </c>
      <c r="AQ8" s="11"/>
      <c r="AR8" s="11">
        <v>75.689937173727913</v>
      </c>
      <c r="AS8" s="11">
        <v>33.360215172010534</v>
      </c>
      <c r="AT8" s="11">
        <v>39.941906493627641</v>
      </c>
      <c r="AU8" s="11">
        <f>SUM(AR8:AT8)</f>
        <v>148.99205883936608</v>
      </c>
    </row>
    <row r="9" spans="1:47" x14ac:dyDescent="0.2">
      <c r="A9" t="str">
        <f>name!E5</f>
        <v>Professional occupations</v>
      </c>
      <c r="B9" s="11">
        <v>354.93999463893192</v>
      </c>
      <c r="C9" s="11">
        <v>118.19679240720613</v>
      </c>
      <c r="D9" s="11">
        <v>82.686443574991628</v>
      </c>
      <c r="E9" s="11">
        <f t="shared" ref="E9:E18" si="0">SUM(B9:D9)</f>
        <v>555.82323062112971</v>
      </c>
      <c r="F9" s="11"/>
      <c r="G9" s="11">
        <v>432.1107645432694</v>
      </c>
      <c r="H9" s="11">
        <v>142.92184009810168</v>
      </c>
      <c r="I9" s="11">
        <v>78.231612897701041</v>
      </c>
      <c r="J9" s="11">
        <f t="shared" ref="J9:J16" si="1">SUM(G9:I9)</f>
        <v>653.26421753907221</v>
      </c>
      <c r="K9" s="11"/>
      <c r="L9" s="11">
        <v>540.03336808938388</v>
      </c>
      <c r="M9" s="11">
        <v>188.72196338249358</v>
      </c>
      <c r="N9" s="11">
        <v>81.580018434933919</v>
      </c>
      <c r="O9" s="11">
        <f t="shared" ref="O9:O16" si="2">SUM(L9:N9)</f>
        <v>810.33534990681142</v>
      </c>
      <c r="Q9" s="10" t="str">
        <f>name!E5</f>
        <v>Professional occupations</v>
      </c>
      <c r="R9" s="11">
        <v>221.88177748528972</v>
      </c>
      <c r="S9" s="11">
        <v>21.197112616883906</v>
      </c>
      <c r="T9" s="11">
        <v>52.099416352775911</v>
      </c>
      <c r="U9" s="11">
        <f t="shared" ref="U9:U16" si="3">SUM(R9:T9)</f>
        <v>295.17830645494956</v>
      </c>
      <c r="V9" s="11"/>
      <c r="W9" s="11">
        <v>263.39367667210649</v>
      </c>
      <c r="X9" s="11">
        <v>30.376230886961643</v>
      </c>
      <c r="Y9" s="11">
        <v>39.610325337396738</v>
      </c>
      <c r="Z9" s="11">
        <f t="shared" ref="Z9:Z16" si="4">SUM(W9:Y9)</f>
        <v>333.38023289646486</v>
      </c>
      <c r="AA9" s="11"/>
      <c r="AB9" s="11">
        <v>320.64788890221007</v>
      </c>
      <c r="AC9" s="11">
        <v>43.583465851486871</v>
      </c>
      <c r="AD9" s="11">
        <v>37.751428463803649</v>
      </c>
      <c r="AE9" s="11">
        <f t="shared" ref="AE9:AE16" si="5">SUM(AB9:AD9)</f>
        <v>401.98278321750058</v>
      </c>
      <c r="AG9" s="10" t="str">
        <f>name!E5</f>
        <v>Professional occupations</v>
      </c>
      <c r="AH9" s="11">
        <v>133.05821715364229</v>
      </c>
      <c r="AI9" s="11">
        <v>96.999679790322233</v>
      </c>
      <c r="AJ9" s="11">
        <v>30.587027222215706</v>
      </c>
      <c r="AK9" s="11">
        <f t="shared" ref="AK9:AK18" si="6">SUM(AH9:AJ9)</f>
        <v>260.6449241661802</v>
      </c>
      <c r="AL9" s="11"/>
      <c r="AM9" s="11">
        <v>168.71708787116319</v>
      </c>
      <c r="AN9" s="11">
        <v>112.54560921114002</v>
      </c>
      <c r="AO9" s="11">
        <v>38.621287560304395</v>
      </c>
      <c r="AP9" s="11">
        <f t="shared" ref="AP9:AP18" si="7">SUM(AM9:AO9)</f>
        <v>319.88398464260757</v>
      </c>
      <c r="AQ9" s="11"/>
      <c r="AR9" s="11">
        <v>219.38547918717381</v>
      </c>
      <c r="AS9" s="11">
        <v>145.13849753100669</v>
      </c>
      <c r="AT9" s="11">
        <v>43.828589971130278</v>
      </c>
      <c r="AU9" s="11">
        <f t="shared" ref="AU9:AU18" si="8">SUM(AR9:AT9)</f>
        <v>408.35256668931078</v>
      </c>
    </row>
    <row r="10" spans="1:47" x14ac:dyDescent="0.2">
      <c r="A10" t="str">
        <f>name!E6</f>
        <v>Associate professional occupations</v>
      </c>
      <c r="B10" s="11">
        <v>199.16447769315155</v>
      </c>
      <c r="C10" s="11">
        <v>67.746883198152062</v>
      </c>
      <c r="D10" s="11">
        <v>65.289524535971168</v>
      </c>
      <c r="E10" s="11">
        <f t="shared" si="0"/>
        <v>332.20088542727478</v>
      </c>
      <c r="F10" s="11"/>
      <c r="G10" s="11">
        <v>234.17245329185403</v>
      </c>
      <c r="H10" s="11">
        <v>79.607921477729505</v>
      </c>
      <c r="I10" s="11">
        <v>61.968965592921549</v>
      </c>
      <c r="J10" s="11">
        <f t="shared" si="1"/>
        <v>375.74934036250511</v>
      </c>
      <c r="K10" s="11"/>
      <c r="L10" s="11">
        <v>247.44441406435729</v>
      </c>
      <c r="M10" s="11">
        <v>92.438560177475452</v>
      </c>
      <c r="N10" s="11">
        <v>71.726318909615188</v>
      </c>
      <c r="O10" s="11">
        <f t="shared" si="2"/>
        <v>411.60929315144796</v>
      </c>
      <c r="Q10" s="10" t="str">
        <f>name!E6</f>
        <v>Associate professional occupations</v>
      </c>
      <c r="R10" s="11">
        <v>127.25721469443995</v>
      </c>
      <c r="S10" s="11">
        <v>14.356182692969035</v>
      </c>
      <c r="T10" s="11">
        <v>33.623352797467732</v>
      </c>
      <c r="U10" s="11">
        <f t="shared" si="3"/>
        <v>175.23675018487671</v>
      </c>
      <c r="V10" s="11"/>
      <c r="W10" s="11">
        <v>143.83212332011183</v>
      </c>
      <c r="X10" s="11">
        <v>20.067554169432238</v>
      </c>
      <c r="Y10" s="11">
        <v>26.250238257143415</v>
      </c>
      <c r="Z10" s="11">
        <f t="shared" si="4"/>
        <v>190.1499157466875</v>
      </c>
      <c r="AA10" s="11"/>
      <c r="AB10" s="11">
        <v>140.16583572797344</v>
      </c>
      <c r="AC10" s="11">
        <v>19.828543224072963</v>
      </c>
      <c r="AD10" s="11">
        <v>29.543512629966944</v>
      </c>
      <c r="AE10" s="11">
        <f t="shared" si="5"/>
        <v>189.53789158201337</v>
      </c>
      <c r="AG10" s="10" t="str">
        <f>name!E6</f>
        <v>Associate professional occupations</v>
      </c>
      <c r="AH10" s="11">
        <v>71.907262998711573</v>
      </c>
      <c r="AI10" s="11">
        <v>53.390700505183034</v>
      </c>
      <c r="AJ10" s="11">
        <v>31.666171738503415</v>
      </c>
      <c r="AK10" s="11">
        <f t="shared" si="6"/>
        <v>156.96413524239802</v>
      </c>
      <c r="AL10" s="11"/>
      <c r="AM10" s="11">
        <v>90.34032997174225</v>
      </c>
      <c r="AN10" s="11">
        <v>59.54036730829727</v>
      </c>
      <c r="AO10" s="11">
        <v>35.718727335778127</v>
      </c>
      <c r="AP10" s="11">
        <f t="shared" si="7"/>
        <v>185.59942461581767</v>
      </c>
      <c r="AQ10" s="11"/>
      <c r="AR10" s="11">
        <v>107.278578336384</v>
      </c>
      <c r="AS10" s="11">
        <v>72.610016953402507</v>
      </c>
      <c r="AT10" s="11">
        <v>42.182806279648226</v>
      </c>
      <c r="AU10" s="11">
        <f t="shared" si="8"/>
        <v>222.07140156943473</v>
      </c>
    </row>
    <row r="11" spans="1:47" x14ac:dyDescent="0.2">
      <c r="A11" t="str">
        <f>name!E7</f>
        <v>Administrative and secretarial occupations</v>
      </c>
      <c r="B11" s="11">
        <v>152.58073097257679</v>
      </c>
      <c r="C11" s="11">
        <v>120.20121898568169</v>
      </c>
      <c r="D11" s="11">
        <v>17.446204145542875</v>
      </c>
      <c r="E11" s="11">
        <f t="shared" si="0"/>
        <v>290.22815410380133</v>
      </c>
      <c r="F11" s="11"/>
      <c r="G11" s="11">
        <v>157.50496564928952</v>
      </c>
      <c r="H11" s="11">
        <v>117.17522520781075</v>
      </c>
      <c r="I11" s="11">
        <v>19.660709064303958</v>
      </c>
      <c r="J11" s="11">
        <f t="shared" si="1"/>
        <v>294.34089992140423</v>
      </c>
      <c r="K11" s="11"/>
      <c r="L11" s="11">
        <v>136.60081200753683</v>
      </c>
      <c r="M11" s="11">
        <v>100.98101408084986</v>
      </c>
      <c r="N11" s="11">
        <v>24.048006443300324</v>
      </c>
      <c r="O11" s="11">
        <f t="shared" si="2"/>
        <v>261.62983253168704</v>
      </c>
      <c r="Q11" s="10" t="str">
        <f>name!E7</f>
        <v>Administrative and secretarial occupations</v>
      </c>
      <c r="R11" s="11">
        <v>51.066244802703267</v>
      </c>
      <c r="S11" s="11">
        <v>12.088137722951261</v>
      </c>
      <c r="T11" s="11">
        <v>4.2618799369853537</v>
      </c>
      <c r="U11" s="11">
        <f t="shared" si="3"/>
        <v>67.416262462639878</v>
      </c>
      <c r="V11" s="11"/>
      <c r="W11" s="11">
        <v>55.312280459399659</v>
      </c>
      <c r="X11" s="11">
        <v>13.003935357445521</v>
      </c>
      <c r="Y11" s="11">
        <v>2.9932017400346846</v>
      </c>
      <c r="Z11" s="11">
        <f t="shared" si="4"/>
        <v>71.309417556879865</v>
      </c>
      <c r="AA11" s="11"/>
      <c r="AB11" s="11">
        <v>58.801687761557531</v>
      </c>
      <c r="AC11" s="11">
        <v>11.180861845564838</v>
      </c>
      <c r="AD11" s="11">
        <v>4.3046440759876017</v>
      </c>
      <c r="AE11" s="11">
        <f t="shared" si="5"/>
        <v>74.287193683109962</v>
      </c>
      <c r="AG11" s="10" t="str">
        <f>name!E7</f>
        <v>Administrative and secretarial occupations</v>
      </c>
      <c r="AH11" s="11">
        <v>101.51448616987342</v>
      </c>
      <c r="AI11" s="11">
        <v>108.11308126273045</v>
      </c>
      <c r="AJ11" s="11">
        <v>13.184324208557509</v>
      </c>
      <c r="AK11" s="11">
        <f t="shared" si="6"/>
        <v>222.8118916411614</v>
      </c>
      <c r="AL11" s="11"/>
      <c r="AM11" s="11">
        <v>102.19268518988986</v>
      </c>
      <c r="AN11" s="11">
        <v>104.17128985036528</v>
      </c>
      <c r="AO11" s="11">
        <v>16.667507324269273</v>
      </c>
      <c r="AP11" s="11">
        <f t="shared" si="7"/>
        <v>223.03148236452441</v>
      </c>
      <c r="AQ11" s="11"/>
      <c r="AR11" s="11">
        <v>77.799124245979314</v>
      </c>
      <c r="AS11" s="11">
        <v>89.800152235285012</v>
      </c>
      <c r="AT11" s="11">
        <v>19.743362367312738</v>
      </c>
      <c r="AU11" s="11">
        <f t="shared" si="8"/>
        <v>187.34263884857705</v>
      </c>
    </row>
    <row r="12" spans="1:47" x14ac:dyDescent="0.2">
      <c r="A12" t="str">
        <f>name!E8</f>
        <v>Skilled trades occupations</v>
      </c>
      <c r="B12" s="11">
        <v>182.36141777966867</v>
      </c>
      <c r="C12" s="11">
        <v>27.839036655253775</v>
      </c>
      <c r="D12" s="11">
        <v>121.74317509728073</v>
      </c>
      <c r="E12" s="11">
        <f t="shared" si="0"/>
        <v>331.9436295322032</v>
      </c>
      <c r="F12" s="11"/>
      <c r="G12" s="11">
        <v>157.04259112353745</v>
      </c>
      <c r="H12" s="11">
        <v>25.787308483668486</v>
      </c>
      <c r="I12" s="11">
        <v>115.18328532634924</v>
      </c>
      <c r="J12" s="11">
        <f t="shared" si="1"/>
        <v>298.01318493355518</v>
      </c>
      <c r="K12" s="11"/>
      <c r="L12" s="11">
        <v>144.43618242531147</v>
      </c>
      <c r="M12" s="11">
        <v>31.368331753423199</v>
      </c>
      <c r="N12" s="11">
        <v>130.68633093885231</v>
      </c>
      <c r="O12" s="11">
        <f t="shared" si="2"/>
        <v>306.49084511758701</v>
      </c>
      <c r="Q12" s="10" t="str">
        <f>name!E8</f>
        <v>Skilled trades occupations</v>
      </c>
      <c r="R12" s="11">
        <v>169.07361225225733</v>
      </c>
      <c r="S12" s="11">
        <v>18.020393036349748</v>
      </c>
      <c r="T12" s="11">
        <v>113.25526351676871</v>
      </c>
      <c r="U12" s="11">
        <f t="shared" si="3"/>
        <v>300.3492688053758</v>
      </c>
      <c r="V12" s="11"/>
      <c r="W12" s="11">
        <v>143.51417123346806</v>
      </c>
      <c r="X12" s="11">
        <v>16.12117300399936</v>
      </c>
      <c r="Y12" s="11">
        <v>102.2476918293676</v>
      </c>
      <c r="Z12" s="11">
        <f t="shared" si="4"/>
        <v>261.88303606683502</v>
      </c>
      <c r="AA12" s="11"/>
      <c r="AB12" s="11">
        <v>125.47546057860963</v>
      </c>
      <c r="AC12" s="11">
        <v>19.661127068605047</v>
      </c>
      <c r="AD12" s="11">
        <v>115.50415964981072</v>
      </c>
      <c r="AE12" s="11">
        <f t="shared" si="5"/>
        <v>260.64074729702537</v>
      </c>
      <c r="AG12" s="10" t="str">
        <f>name!E8</f>
        <v>Skilled trades occupations</v>
      </c>
      <c r="AH12" s="11">
        <v>13.28780552741132</v>
      </c>
      <c r="AI12" s="11">
        <v>9.818643618904046</v>
      </c>
      <c r="AJ12" s="11">
        <v>8.4879115805120637</v>
      </c>
      <c r="AK12" s="11">
        <f t="shared" si="6"/>
        <v>31.594360726827432</v>
      </c>
      <c r="AL12" s="11"/>
      <c r="AM12" s="11">
        <v>13.528419890069275</v>
      </c>
      <c r="AN12" s="11">
        <v>9.6661354796691352</v>
      </c>
      <c r="AO12" s="11">
        <v>12.935593496981648</v>
      </c>
      <c r="AP12" s="11">
        <f t="shared" si="7"/>
        <v>36.130148866720056</v>
      </c>
      <c r="AQ12" s="11"/>
      <c r="AR12" s="11">
        <v>18.960721846701773</v>
      </c>
      <c r="AS12" s="11">
        <v>11.707204684818137</v>
      </c>
      <c r="AT12" s="11">
        <v>15.182171289041579</v>
      </c>
      <c r="AU12" s="11">
        <f t="shared" si="8"/>
        <v>45.850097820561487</v>
      </c>
    </row>
    <row r="13" spans="1:47" x14ac:dyDescent="0.2">
      <c r="A13" t="str">
        <f>name!E9</f>
        <v>Caring, leisure and other service occupations</v>
      </c>
      <c r="B13" s="11">
        <v>115.57918783734551</v>
      </c>
      <c r="C13" s="11">
        <v>140.42330158162412</v>
      </c>
      <c r="D13" s="11">
        <v>34.068218439723772</v>
      </c>
      <c r="E13" s="11">
        <f t="shared" si="0"/>
        <v>290.07070785869337</v>
      </c>
      <c r="F13" s="11"/>
      <c r="G13" s="11">
        <v>111.03420890764194</v>
      </c>
      <c r="H13" s="11">
        <v>129.50930868803778</v>
      </c>
      <c r="I13" s="11">
        <v>36.541814757082768</v>
      </c>
      <c r="J13" s="11">
        <f t="shared" si="1"/>
        <v>277.08533235276246</v>
      </c>
      <c r="K13" s="11"/>
      <c r="L13" s="11">
        <v>140.26604413031487</v>
      </c>
      <c r="M13" s="11">
        <v>147.83868624773524</v>
      </c>
      <c r="N13" s="11">
        <v>47.962924427939662</v>
      </c>
      <c r="O13" s="11">
        <f t="shared" si="2"/>
        <v>336.06765480598978</v>
      </c>
      <c r="Q13" s="10" t="str">
        <f>name!E9</f>
        <v>Caring, leisure and other service occupations</v>
      </c>
      <c r="R13" s="11">
        <v>23.696267443587633</v>
      </c>
      <c r="S13" s="11">
        <v>11.980080134501877</v>
      </c>
      <c r="T13" s="11">
        <v>5.6340009625666534</v>
      </c>
      <c r="U13" s="11">
        <f t="shared" si="3"/>
        <v>41.310348540656165</v>
      </c>
      <c r="V13" s="11"/>
      <c r="W13" s="11">
        <v>23.538635649882057</v>
      </c>
      <c r="X13" s="11">
        <v>13.141139739900501</v>
      </c>
      <c r="Y13" s="11">
        <v>5.9574876086268747</v>
      </c>
      <c r="Z13" s="11">
        <f t="shared" si="4"/>
        <v>42.637262998409433</v>
      </c>
      <c r="AA13" s="11"/>
      <c r="AB13" s="11">
        <v>30.864632038391409</v>
      </c>
      <c r="AC13" s="11">
        <v>17.148632587366613</v>
      </c>
      <c r="AD13" s="11">
        <v>9.6333439961638963</v>
      </c>
      <c r="AE13" s="11">
        <f t="shared" si="5"/>
        <v>57.646608621921921</v>
      </c>
      <c r="AG13" s="10" t="str">
        <f>name!E9</f>
        <v>Caring, leisure and other service occupations</v>
      </c>
      <c r="AH13" s="11">
        <v>91.8829203937579</v>
      </c>
      <c r="AI13" s="11">
        <v>128.44322144712223</v>
      </c>
      <c r="AJ13" s="11">
        <v>28.434217477157137</v>
      </c>
      <c r="AK13" s="11">
        <f t="shared" si="6"/>
        <v>248.76035931803727</v>
      </c>
      <c r="AL13" s="11"/>
      <c r="AM13" s="11">
        <v>87.495573257759901</v>
      </c>
      <c r="AN13" s="11">
        <v>116.36816894813731</v>
      </c>
      <c r="AO13" s="11">
        <v>30.584327148455895</v>
      </c>
      <c r="AP13" s="11">
        <f t="shared" si="7"/>
        <v>234.44806935435309</v>
      </c>
      <c r="AQ13" s="11"/>
      <c r="AR13" s="11">
        <v>109.40141209192345</v>
      </c>
      <c r="AS13" s="11">
        <v>130.69005366036859</v>
      </c>
      <c r="AT13" s="11">
        <v>38.329580431775774</v>
      </c>
      <c r="AU13" s="11">
        <f t="shared" si="8"/>
        <v>278.42104618406779</v>
      </c>
    </row>
    <row r="14" spans="1:47" x14ac:dyDescent="0.2">
      <c r="A14" t="str">
        <f>name!E10</f>
        <v>Sales and customer service occupations</v>
      </c>
      <c r="B14" s="11">
        <v>87.941917000017298</v>
      </c>
      <c r="C14" s="11">
        <v>148.82701644710249</v>
      </c>
      <c r="D14" s="11">
        <v>20.071380255702401</v>
      </c>
      <c r="E14" s="11">
        <f t="shared" si="0"/>
        <v>256.84031370282219</v>
      </c>
      <c r="F14" s="11"/>
      <c r="G14" s="11">
        <v>89.191778943928938</v>
      </c>
      <c r="H14" s="11">
        <v>147.60885062320716</v>
      </c>
      <c r="I14" s="11">
        <v>16.628919823104706</v>
      </c>
      <c r="J14" s="11">
        <f t="shared" si="1"/>
        <v>253.42954939024079</v>
      </c>
      <c r="K14" s="11"/>
      <c r="L14" s="11">
        <v>88.494699646217626</v>
      </c>
      <c r="M14" s="11">
        <v>151.47928675008274</v>
      </c>
      <c r="N14" s="11">
        <v>14.473558852456712</v>
      </c>
      <c r="O14" s="11">
        <f t="shared" si="2"/>
        <v>254.44754524875705</v>
      </c>
      <c r="Q14" s="10" t="str">
        <f>name!E10</f>
        <v>Sales and customer service occupations</v>
      </c>
      <c r="R14" s="11">
        <v>41.765577529420824</v>
      </c>
      <c r="S14" s="11">
        <v>44.105106202959355</v>
      </c>
      <c r="T14" s="11">
        <v>11.034815005598697</v>
      </c>
      <c r="U14" s="11">
        <f t="shared" si="3"/>
        <v>96.905498737978874</v>
      </c>
      <c r="V14" s="11"/>
      <c r="W14" s="11">
        <v>41.92487188616257</v>
      </c>
      <c r="X14" s="11">
        <v>46.303008083941805</v>
      </c>
      <c r="Y14" s="11">
        <v>9.1613387245332376</v>
      </c>
      <c r="Z14" s="11">
        <f t="shared" si="4"/>
        <v>97.389218694637606</v>
      </c>
      <c r="AA14" s="11"/>
      <c r="AB14" s="11">
        <v>45.529139561709684</v>
      </c>
      <c r="AC14" s="11">
        <v>50.176270221672489</v>
      </c>
      <c r="AD14" s="11">
        <v>8.1960520526977749</v>
      </c>
      <c r="AE14" s="11">
        <f t="shared" si="5"/>
        <v>103.90146183607996</v>
      </c>
      <c r="AG14" s="10" t="str">
        <f>name!E10</f>
        <v>Sales and customer service occupations</v>
      </c>
      <c r="AH14" s="11">
        <v>46.176339470596474</v>
      </c>
      <c r="AI14" s="11">
        <v>104.72191024414313</v>
      </c>
      <c r="AJ14" s="11">
        <v>9.0365652501036973</v>
      </c>
      <c r="AK14" s="11">
        <f t="shared" si="6"/>
        <v>159.93481496484333</v>
      </c>
      <c r="AL14" s="11"/>
      <c r="AM14" s="11">
        <v>47.266907057766424</v>
      </c>
      <c r="AN14" s="11">
        <v>101.30584253926534</v>
      </c>
      <c r="AO14" s="11">
        <v>7.4675810985714719</v>
      </c>
      <c r="AP14" s="11">
        <f t="shared" si="7"/>
        <v>156.04033069560325</v>
      </c>
      <c r="AQ14" s="11"/>
      <c r="AR14" s="11">
        <v>42.965560084507977</v>
      </c>
      <c r="AS14" s="11">
        <v>101.30301652841023</v>
      </c>
      <c r="AT14" s="11">
        <v>6.2775067997589407</v>
      </c>
      <c r="AU14" s="11">
        <f t="shared" si="8"/>
        <v>150.54608341267715</v>
      </c>
    </row>
    <row r="15" spans="1:47" x14ac:dyDescent="0.2">
      <c r="A15" t="str">
        <f>name!E11</f>
        <v>Process, plant and machine operatives</v>
      </c>
      <c r="B15" s="11">
        <v>117.41588312629057</v>
      </c>
      <c r="C15" s="11">
        <v>22.624593955038186</v>
      </c>
      <c r="D15" s="11">
        <v>19.45901535361563</v>
      </c>
      <c r="E15" s="11">
        <f t="shared" si="0"/>
        <v>159.49949243494439</v>
      </c>
      <c r="F15" s="11"/>
      <c r="G15" s="11">
        <v>99.62769156720276</v>
      </c>
      <c r="H15" s="11">
        <v>23.653981369885368</v>
      </c>
      <c r="I15" s="11">
        <v>21.454089071929118</v>
      </c>
      <c r="J15" s="11">
        <f t="shared" si="1"/>
        <v>144.73576200901726</v>
      </c>
      <c r="K15" s="11"/>
      <c r="L15" s="11">
        <v>103.42875079441518</v>
      </c>
      <c r="M15" s="11">
        <v>34.805066330045555</v>
      </c>
      <c r="N15" s="11">
        <v>27.271957937621817</v>
      </c>
      <c r="O15" s="11">
        <f t="shared" si="2"/>
        <v>165.50577506208253</v>
      </c>
      <c r="Q15" s="10" t="str">
        <f>name!E11</f>
        <v>Process, plant and machine operatives</v>
      </c>
      <c r="R15" s="11">
        <v>104.77024584465605</v>
      </c>
      <c r="S15" s="11">
        <v>16.336162084089722</v>
      </c>
      <c r="T15" s="11">
        <v>16.771461614185842</v>
      </c>
      <c r="U15" s="11">
        <f t="shared" si="3"/>
        <v>137.87786954293162</v>
      </c>
      <c r="V15" s="11"/>
      <c r="W15" s="11">
        <v>89.232246813046103</v>
      </c>
      <c r="X15" s="11">
        <v>18.385302496298266</v>
      </c>
      <c r="Y15" s="11">
        <v>16.245029484791431</v>
      </c>
      <c r="Z15" s="11">
        <f t="shared" si="4"/>
        <v>123.8625787941358</v>
      </c>
      <c r="AA15" s="11"/>
      <c r="AB15" s="11">
        <v>90.831552868771638</v>
      </c>
      <c r="AC15" s="11">
        <v>23.529220215407687</v>
      </c>
      <c r="AD15" s="11">
        <v>19.894726611812519</v>
      </c>
      <c r="AE15" s="11">
        <f t="shared" si="5"/>
        <v>134.25549969599186</v>
      </c>
      <c r="AG15" s="10" t="str">
        <f>name!E11</f>
        <v>Process, plant and machine operatives</v>
      </c>
      <c r="AH15" s="11">
        <v>12.645637281634674</v>
      </c>
      <c r="AI15" s="11">
        <v>6.2884318709484361</v>
      </c>
      <c r="AJ15" s="11">
        <v>2.6875537394297955</v>
      </c>
      <c r="AK15" s="11">
        <f t="shared" si="6"/>
        <v>21.621622892012905</v>
      </c>
      <c r="AL15" s="11"/>
      <c r="AM15" s="11">
        <v>10.395444754156612</v>
      </c>
      <c r="AN15" s="11">
        <v>5.2686788735871097</v>
      </c>
      <c r="AO15" s="11">
        <v>5.2090595871376806</v>
      </c>
      <c r="AP15" s="11">
        <f t="shared" si="7"/>
        <v>20.873183214881401</v>
      </c>
      <c r="AQ15" s="11"/>
      <c r="AR15" s="11">
        <v>12.597197925643414</v>
      </c>
      <c r="AS15" s="11">
        <v>11.275846114637872</v>
      </c>
      <c r="AT15" s="11">
        <v>7.3772313258093085</v>
      </c>
      <c r="AU15" s="11">
        <f t="shared" si="8"/>
        <v>31.250275366090595</v>
      </c>
    </row>
    <row r="16" spans="1:47" x14ac:dyDescent="0.2">
      <c r="A16" t="str">
        <f>name!E12</f>
        <v>Elementary occupations</v>
      </c>
      <c r="B16" s="11">
        <v>130.9595727199526</v>
      </c>
      <c r="C16" s="11">
        <v>161.9825604511943</v>
      </c>
      <c r="D16" s="11">
        <v>26.585492784241396</v>
      </c>
      <c r="E16" s="11">
        <f t="shared" si="0"/>
        <v>319.52762595538832</v>
      </c>
      <c r="F16" s="11"/>
      <c r="G16" s="11">
        <v>109.40173554894776</v>
      </c>
      <c r="H16" s="11">
        <v>160.02998470458141</v>
      </c>
      <c r="I16" s="11">
        <v>26.865335161504802</v>
      </c>
      <c r="J16" s="11">
        <f t="shared" si="1"/>
        <v>296.29705541503398</v>
      </c>
      <c r="K16" s="11"/>
      <c r="L16" s="11">
        <v>110.7718320684112</v>
      </c>
      <c r="M16" s="11">
        <v>150.04516478019892</v>
      </c>
      <c r="N16" s="11">
        <v>39.040578212395822</v>
      </c>
      <c r="O16" s="11">
        <f t="shared" si="2"/>
        <v>299.85757506100595</v>
      </c>
      <c r="Q16" s="10" t="str">
        <f>name!E12</f>
        <v>Elementary occupations</v>
      </c>
      <c r="R16" s="11">
        <v>92.902932698475112</v>
      </c>
      <c r="S16" s="11">
        <v>67.358539082164143</v>
      </c>
      <c r="T16" s="11">
        <v>13.116280574434379</v>
      </c>
      <c r="U16" s="11">
        <f t="shared" si="3"/>
        <v>173.37775235507362</v>
      </c>
      <c r="V16" s="11"/>
      <c r="W16" s="11">
        <v>76.127534290778357</v>
      </c>
      <c r="X16" s="11">
        <v>66.653665784135882</v>
      </c>
      <c r="Y16" s="11">
        <v>12.971420241358567</v>
      </c>
      <c r="Z16" s="11">
        <f t="shared" si="4"/>
        <v>155.75262031627281</v>
      </c>
      <c r="AA16" s="11"/>
      <c r="AB16" s="11">
        <v>69.139842958914599</v>
      </c>
      <c r="AC16" s="11">
        <v>68.909167662687281</v>
      </c>
      <c r="AD16" s="11">
        <v>18.539733168680563</v>
      </c>
      <c r="AE16" s="11">
        <f t="shared" si="5"/>
        <v>156.58874379028245</v>
      </c>
      <c r="AG16" s="10" t="str">
        <f>name!E12</f>
        <v>Elementary occupations</v>
      </c>
      <c r="AH16" s="11">
        <v>38.056640021477463</v>
      </c>
      <c r="AI16" s="11">
        <v>94.624021369030174</v>
      </c>
      <c r="AJ16" s="11">
        <v>13.469212209807027</v>
      </c>
      <c r="AK16" s="11">
        <f t="shared" si="6"/>
        <v>146.14987360031466</v>
      </c>
      <c r="AL16" s="11"/>
      <c r="AM16" s="11">
        <v>33.274201258169583</v>
      </c>
      <c r="AN16" s="11">
        <v>93.376318920445513</v>
      </c>
      <c r="AO16" s="11">
        <v>13.893914920146264</v>
      </c>
      <c r="AP16" s="11">
        <f t="shared" si="7"/>
        <v>140.54443509876137</v>
      </c>
      <c r="AQ16" s="11"/>
      <c r="AR16" s="11">
        <v>41.631989109496566</v>
      </c>
      <c r="AS16" s="11">
        <v>81.135997117511678</v>
      </c>
      <c r="AT16" s="11">
        <v>20.500845043715248</v>
      </c>
      <c r="AU16" s="11">
        <f t="shared" si="8"/>
        <v>143.2688312707235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3" t="str">
        <f>name!E3</f>
        <v>All occupations</v>
      </c>
      <c r="B18" s="33">
        <f>SUM(B8:B16)</f>
        <v>1528.5729999999253</v>
      </c>
      <c r="C18" s="33">
        <f t="shared" ref="C18:D18" si="9">SUM(C8:C16)</f>
        <v>834.72399999727884</v>
      </c>
      <c r="D18" s="33">
        <f t="shared" si="9"/>
        <v>454.55499999990985</v>
      </c>
      <c r="E18" s="33">
        <f t="shared" si="0"/>
        <v>2817.851999997114</v>
      </c>
      <c r="F18" s="33"/>
      <c r="G18" s="33">
        <f>SUM(G8:G16)</f>
        <v>1607.0549999960585</v>
      </c>
      <c r="H18" s="33">
        <f t="shared" ref="H18:I18" si="10">SUM(H8:H16)</f>
        <v>868.10000000241621</v>
      </c>
      <c r="I18" s="33">
        <f t="shared" si="10"/>
        <v>454.43199999799003</v>
      </c>
      <c r="J18" s="33">
        <f t="shared" ref="J18" si="11">SUM(G18:I18)</f>
        <v>2929.5869999964643</v>
      </c>
      <c r="K18" s="33"/>
      <c r="L18" s="33">
        <f>SUM(L8:L16)</f>
        <v>1760.4119999989821</v>
      </c>
      <c r="M18" s="33">
        <f t="shared" ref="M18:N18" si="12">SUM(M8:M16)</f>
        <v>952.55499999822075</v>
      </c>
      <c r="N18" s="33">
        <f t="shared" si="12"/>
        <v>527.12600000009047</v>
      </c>
      <c r="O18" s="33">
        <f t="shared" ref="O18" si="13">SUM(L18:N18)</f>
        <v>3240.0929999972932</v>
      </c>
      <c r="Q18" s="231" t="str">
        <f>name!E3</f>
        <v>All occupations</v>
      </c>
      <c r="R18" s="33">
        <f>SUM(R8:R16)</f>
        <v>973.75899999922888</v>
      </c>
      <c r="S18" s="33">
        <f t="shared" ref="S18:T18" si="14">SUM(S8:S16)</f>
        <v>214.86600000063976</v>
      </c>
      <c r="T18" s="33">
        <f t="shared" si="14"/>
        <v>290.50299999946594</v>
      </c>
      <c r="U18" s="33">
        <f t="shared" ref="U18" si="15">SUM(R18:T18)</f>
        <v>1479.1279999993344</v>
      </c>
      <c r="V18" s="33"/>
      <c r="W18" s="33">
        <f>SUM(W8:W16)</f>
        <v>996.22999999775811</v>
      </c>
      <c r="X18" s="33">
        <f t="shared" ref="X18:Y18" si="16">SUM(X8:X16)</f>
        <v>239.16300000117414</v>
      </c>
      <c r="Y18" s="33">
        <f t="shared" si="16"/>
        <v>256.14599999944687</v>
      </c>
      <c r="Z18" s="33">
        <f t="shared" ref="Z18" si="17">SUM(W18:Y18)</f>
        <v>1491.538999998379</v>
      </c>
      <c r="AA18" s="33"/>
      <c r="AB18" s="33">
        <f>SUM(AB8:AB16)</f>
        <v>1054.7019999974436</v>
      </c>
      <c r="AC18" s="33">
        <f t="shared" ref="AC18:AD18" si="18">SUM(AC8:AC16)</f>
        <v>275.53400000076954</v>
      </c>
      <c r="AD18" s="33">
        <f t="shared" si="18"/>
        <v>293.76199999827071</v>
      </c>
      <c r="AE18" s="33">
        <f t="shared" ref="AE18" si="19">SUM(AB18:AD18)</f>
        <v>1623.9979999964839</v>
      </c>
      <c r="AG18" s="231" t="str">
        <f>name!E3</f>
        <v>All occupations</v>
      </c>
      <c r="AH18" s="33">
        <f>SUM(AH8:AH16)</f>
        <v>554.81400000069664</v>
      </c>
      <c r="AI18" s="33">
        <f t="shared" ref="AI18:AJ18" si="20">SUM(AI8:AI16)</f>
        <v>619.85799999663902</v>
      </c>
      <c r="AJ18" s="33">
        <f t="shared" si="20"/>
        <v>164.05200000044385</v>
      </c>
      <c r="AK18" s="33">
        <f t="shared" si="6"/>
        <v>1338.7239999977796</v>
      </c>
      <c r="AL18" s="33"/>
      <c r="AM18" s="33">
        <f>SUM(AM8:AM16)</f>
        <v>610.82499999830065</v>
      </c>
      <c r="AN18" s="33">
        <f t="shared" ref="AN18:AO18" si="21">SUM(AN8:AN16)</f>
        <v>628.93700000124215</v>
      </c>
      <c r="AO18" s="33">
        <f t="shared" si="21"/>
        <v>198.28599999854336</v>
      </c>
      <c r="AP18" s="33">
        <f t="shared" si="7"/>
        <v>1438.047999998086</v>
      </c>
      <c r="AQ18" s="33"/>
      <c r="AR18" s="33">
        <f>SUM(AR8:AR16)</f>
        <v>705.71000000153822</v>
      </c>
      <c r="AS18" s="33">
        <f t="shared" ref="AS18:AT18" si="22">SUM(AS8:AS16)</f>
        <v>677.02099999745121</v>
      </c>
      <c r="AT18" s="33">
        <f t="shared" si="22"/>
        <v>233.36400000181973</v>
      </c>
      <c r="AU18" s="33">
        <f t="shared" si="8"/>
        <v>1616.095000000809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2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2">
      <c r="B23" s="375">
        <f>B5</f>
        <v>2015</v>
      </c>
      <c r="C23" s="375"/>
      <c r="D23" s="375"/>
      <c r="E23" s="375"/>
      <c r="F23" s="1"/>
      <c r="G23" s="375">
        <f>G5</f>
        <v>2020</v>
      </c>
      <c r="H23" s="375"/>
      <c r="I23" s="375"/>
      <c r="J23" s="375"/>
      <c r="K23" s="1"/>
      <c r="L23" s="375">
        <f>L5</f>
        <v>2035</v>
      </c>
      <c r="M23" s="375"/>
      <c r="N23" s="375"/>
      <c r="O23" s="375"/>
      <c r="R23" s="375">
        <f>R5</f>
        <v>2015</v>
      </c>
      <c r="S23" s="375"/>
      <c r="T23" s="375"/>
      <c r="U23" s="375"/>
      <c r="V23" s="1"/>
      <c r="W23" s="375">
        <f>W5</f>
        <v>2020</v>
      </c>
      <c r="X23" s="375"/>
      <c r="Y23" s="375"/>
      <c r="Z23" s="375"/>
      <c r="AA23" s="1"/>
      <c r="AB23" s="375">
        <f>AB5</f>
        <v>2035</v>
      </c>
      <c r="AC23" s="375"/>
      <c r="AD23" s="375"/>
      <c r="AE23" s="375"/>
      <c r="AH23" s="375">
        <f>AH5</f>
        <v>2015</v>
      </c>
      <c r="AI23" s="375"/>
      <c r="AJ23" s="375"/>
      <c r="AK23" s="375"/>
      <c r="AL23" s="1"/>
      <c r="AM23" s="375">
        <f>AM5</f>
        <v>2020</v>
      </c>
      <c r="AN23" s="375"/>
      <c r="AO23" s="375"/>
      <c r="AP23" s="375"/>
      <c r="AQ23" s="1"/>
      <c r="AR23" s="375">
        <f>AR5</f>
        <v>2035</v>
      </c>
      <c r="AS23" s="375"/>
      <c r="AT23" s="375"/>
      <c r="AU23" s="375"/>
    </row>
    <row r="24" spans="1:47" x14ac:dyDescent="0.2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2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2">
      <c r="A26" t="str">
        <f>$A$8</f>
        <v>Managers, directors and senior officials</v>
      </c>
      <c r="B26" s="17">
        <f>B8/B$18*100</f>
        <v>12.274835302730034</v>
      </c>
      <c r="C26" s="17">
        <f t="shared" ref="C26:O26" si="23">C8/C$18*100</f>
        <v>3.2205371255784612</v>
      </c>
      <c r="D26" s="17">
        <f t="shared" si="23"/>
        <v>14.784909595726258</v>
      </c>
      <c r="E26" s="17">
        <f t="shared" si="23"/>
        <v>9.9976137980683522</v>
      </c>
      <c r="F26" s="17"/>
      <c r="G26" s="17">
        <f t="shared" si="23"/>
        <v>13.501019593039377</v>
      </c>
      <c r="H26" s="17">
        <f t="shared" si="23"/>
        <v>4.81575617432068</v>
      </c>
      <c r="I26" s="17">
        <f t="shared" si="23"/>
        <v>17.141677589482583</v>
      </c>
      <c r="J26" s="17">
        <f t="shared" si="23"/>
        <v>11.492120154591081</v>
      </c>
      <c r="K26" s="17"/>
      <c r="L26" s="17">
        <f t="shared" si="23"/>
        <v>14.140774817098359</v>
      </c>
      <c r="M26" s="17">
        <f t="shared" si="23"/>
        <v>5.7610244548628398</v>
      </c>
      <c r="N26" s="17">
        <f t="shared" si="23"/>
        <v>17.137516617081904</v>
      </c>
      <c r="O26" s="17">
        <f t="shared" si="23"/>
        <v>12.164747404233575</v>
      </c>
      <c r="Q26" t="str">
        <f>$A$8</f>
        <v>Managers, directors and senior officials</v>
      </c>
      <c r="R26" s="17">
        <f>R8/R$18*100</f>
        <v>14.515411641742043</v>
      </c>
      <c r="S26" s="17">
        <f t="shared" ref="S26:U26" si="24">S8/S$18*100</f>
        <v>4.3861227126407298</v>
      </c>
      <c r="T26" s="17">
        <f t="shared" si="24"/>
        <v>14.012429902189478</v>
      </c>
      <c r="U26" s="17">
        <f t="shared" si="24"/>
        <v>12.945190876985526</v>
      </c>
      <c r="V26" s="17"/>
      <c r="W26" s="17">
        <f t="shared" ref="W26:Z26" si="25">W8/W$18*100</f>
        <v>15.995749944607335</v>
      </c>
      <c r="X26" s="17">
        <f t="shared" si="25"/>
        <v>6.3182810380304506</v>
      </c>
      <c r="Y26" s="17">
        <f t="shared" si="25"/>
        <v>15.892993361708657</v>
      </c>
      <c r="Z26" s="17">
        <f t="shared" si="25"/>
        <v>14.426355390525503</v>
      </c>
      <c r="AA26" s="17"/>
      <c r="AB26" s="17">
        <f t="shared" ref="AB26:AE26" si="26">AB8/AB$18*100</f>
        <v>16.426057748987454</v>
      </c>
      <c r="AC26" s="17">
        <f t="shared" si="26"/>
        <v>7.8090948209098041</v>
      </c>
      <c r="AD26" s="17">
        <f t="shared" si="26"/>
        <v>17.154839410694269</v>
      </c>
      <c r="AE26" s="17">
        <f t="shared" si="26"/>
        <v>15.095897302403655</v>
      </c>
      <c r="AG26" t="str">
        <f>$A$8</f>
        <v>Managers, directors and senior officials</v>
      </c>
      <c r="AH26" s="17">
        <f>AH8/AH$18*100</f>
        <v>8.3423797855737938</v>
      </c>
      <c r="AI26" s="17">
        <f t="shared" ref="AI26:AK26" si="27">AI8/AI$18*100</f>
        <v>2.8165015033039662</v>
      </c>
      <c r="AJ26" s="17">
        <f t="shared" si="27"/>
        <v>16.152815311051238</v>
      </c>
      <c r="AK26" s="17">
        <f t="shared" si="27"/>
        <v>6.7408978584199488</v>
      </c>
      <c r="AL26" s="17"/>
      <c r="AM26" s="17">
        <f t="shared" ref="AM26:AP26" si="28">AM8/AM$18*100</f>
        <v>9.4322188429982194</v>
      </c>
      <c r="AN26" s="17">
        <f t="shared" si="28"/>
        <v>4.2443979079434797</v>
      </c>
      <c r="AO26" s="17">
        <f t="shared" si="28"/>
        <v>18.754728789310285</v>
      </c>
      <c r="AP26" s="17">
        <f t="shared" si="28"/>
        <v>8.4487403163857611</v>
      </c>
      <c r="AQ26" s="17"/>
      <c r="AR26" s="17">
        <f t="shared" ref="AR26:AU26" si="29">AR8/AR$18*100</f>
        <v>10.725359874957551</v>
      </c>
      <c r="AS26" s="17">
        <f t="shared" si="29"/>
        <v>4.9275007971888796</v>
      </c>
      <c r="AT26" s="17">
        <f t="shared" si="29"/>
        <v>17.115710432335828</v>
      </c>
      <c r="AU26" s="17">
        <f t="shared" si="29"/>
        <v>9.2192636472046186</v>
      </c>
    </row>
    <row r="27" spans="1:47" x14ac:dyDescent="0.2">
      <c r="A27" t="str">
        <f>$A$9</f>
        <v>Professional occupations</v>
      </c>
      <c r="B27" s="17">
        <f t="shared" ref="B27:B34" si="30">B9/B$18*100</f>
        <v>23.220349609665305</v>
      </c>
      <c r="C27" s="17">
        <f t="shared" ref="C27:O27" si="31">C9/C$18*100</f>
        <v>14.159984906099673</v>
      </c>
      <c r="D27" s="17">
        <f t="shared" si="31"/>
        <v>18.190635583154517</v>
      </c>
      <c r="E27" s="17">
        <f t="shared" si="31"/>
        <v>19.725068265533427</v>
      </c>
      <c r="F27" s="17"/>
      <c r="G27" s="17">
        <f t="shared" si="31"/>
        <v>26.888361913209518</v>
      </c>
      <c r="H27" s="17">
        <f t="shared" si="31"/>
        <v>16.46375303510009</v>
      </c>
      <c r="I27" s="17">
        <f t="shared" si="31"/>
        <v>17.215251764410748</v>
      </c>
      <c r="J27" s="17">
        <f t="shared" si="31"/>
        <v>22.298850231785593</v>
      </c>
      <c r="K27" s="17"/>
      <c r="L27" s="17">
        <f t="shared" si="31"/>
        <v>30.676532998508083</v>
      </c>
      <c r="M27" s="17">
        <f t="shared" si="31"/>
        <v>19.812185478302681</v>
      </c>
      <c r="N27" s="17">
        <f t="shared" si="31"/>
        <v>15.476379164548879</v>
      </c>
      <c r="O27" s="17">
        <f t="shared" si="31"/>
        <v>25.009632436707474</v>
      </c>
      <c r="Q27" t="str">
        <f>$A$9</f>
        <v>Professional occupations</v>
      </c>
      <c r="R27" s="17">
        <f t="shared" ref="R27:U27" si="32">R9/R$18*100</f>
        <v>22.786108008805613</v>
      </c>
      <c r="S27" s="17">
        <f t="shared" si="32"/>
        <v>9.8652707347001343</v>
      </c>
      <c r="T27" s="17">
        <f t="shared" si="32"/>
        <v>17.934209406743371</v>
      </c>
      <c r="U27" s="17">
        <f t="shared" si="32"/>
        <v>19.95623816566804</v>
      </c>
      <c r="V27" s="17"/>
      <c r="W27" s="17">
        <f t="shared" ref="W27:Z27" si="33">W9/W$18*100</f>
        <v>26.439042858847777</v>
      </c>
      <c r="X27" s="17">
        <f t="shared" si="33"/>
        <v>12.701057808612751</v>
      </c>
      <c r="Y27" s="17">
        <f t="shared" si="33"/>
        <v>15.463964042960763</v>
      </c>
      <c r="Z27" s="17">
        <f t="shared" si="33"/>
        <v>22.35142580226378</v>
      </c>
      <c r="AA27" s="17"/>
      <c r="AB27" s="17">
        <f t="shared" ref="AB27:AE27" si="34">AB9/AB$18*100</f>
        <v>30.401752239304301</v>
      </c>
      <c r="AC27" s="17">
        <f t="shared" si="34"/>
        <v>15.817817710832474</v>
      </c>
      <c r="AD27" s="17">
        <f t="shared" si="34"/>
        <v>12.851025137364902</v>
      </c>
      <c r="AE27" s="17">
        <f t="shared" si="34"/>
        <v>24.752664918206236</v>
      </c>
      <c r="AG27" t="str">
        <f>$A$9</f>
        <v>Professional occupations</v>
      </c>
      <c r="AH27" s="17">
        <f t="shared" ref="AH27:AK27" si="35">AH9/AH$18*100</f>
        <v>23.982490916500883</v>
      </c>
      <c r="AI27" s="17">
        <f t="shared" si="35"/>
        <v>15.648693699338912</v>
      </c>
      <c r="AJ27" s="17">
        <f t="shared" si="35"/>
        <v>18.644714616178376</v>
      </c>
      <c r="AK27" s="17">
        <f t="shared" si="35"/>
        <v>19.469653503381764</v>
      </c>
      <c r="AL27" s="17"/>
      <c r="AM27" s="17">
        <f t="shared" ref="AM27:AP27" si="36">AM9/AM$18*100</f>
        <v>27.621182478063695</v>
      </c>
      <c r="AN27" s="17">
        <f t="shared" si="36"/>
        <v>17.894575960854226</v>
      </c>
      <c r="AO27" s="17">
        <f t="shared" si="36"/>
        <v>19.477566525416879</v>
      </c>
      <c r="AP27" s="17">
        <f t="shared" si="36"/>
        <v>22.244319010424778</v>
      </c>
      <c r="AQ27" s="17"/>
      <c r="AR27" s="17">
        <f t="shared" ref="AR27:AU27" si="37">AR9/AR$18*100</f>
        <v>31.087200009450854</v>
      </c>
      <c r="AS27" s="17">
        <f t="shared" si="37"/>
        <v>21.437813233496907</v>
      </c>
      <c r="AT27" s="17">
        <f t="shared" si="37"/>
        <v>18.781213028054246</v>
      </c>
      <c r="AU27" s="17">
        <f t="shared" si="37"/>
        <v>25.267856573351587</v>
      </c>
    </row>
    <row r="28" spans="1:47" x14ac:dyDescent="0.2">
      <c r="A28" t="str">
        <f>$A$10</f>
        <v>Associate professional occupations</v>
      </c>
      <c r="B28" s="17">
        <f t="shared" si="30"/>
        <v>13.029438416952367</v>
      </c>
      <c r="C28" s="17">
        <f t="shared" ref="C28:O28" si="38">C10/C$18*100</f>
        <v>8.1160818663861232</v>
      </c>
      <c r="D28" s="17">
        <f t="shared" si="38"/>
        <v>14.363393766647405</v>
      </c>
      <c r="E28" s="17">
        <f t="shared" si="38"/>
        <v>11.789153065086989</v>
      </c>
      <c r="F28" s="17"/>
      <c r="G28" s="17">
        <f t="shared" si="38"/>
        <v>14.571527003893978</v>
      </c>
      <c r="H28" s="17">
        <f t="shared" si="38"/>
        <v>9.1703630316216955</v>
      </c>
      <c r="I28" s="17">
        <f t="shared" si="38"/>
        <v>13.636576119902569</v>
      </c>
      <c r="J28" s="17">
        <f t="shared" si="38"/>
        <v>12.826017468092212</v>
      </c>
      <c r="K28" s="17"/>
      <c r="L28" s="17">
        <f t="shared" si="38"/>
        <v>14.056051314379836</v>
      </c>
      <c r="M28" s="17">
        <f t="shared" si="38"/>
        <v>9.704275362330586</v>
      </c>
      <c r="N28" s="17">
        <f t="shared" si="38"/>
        <v>13.607053894060032</v>
      </c>
      <c r="O28" s="17">
        <f t="shared" si="38"/>
        <v>12.703625888262831</v>
      </c>
      <c r="Q28" t="str">
        <f>$A$10</f>
        <v>Associate professional occupations</v>
      </c>
      <c r="R28" s="17">
        <f t="shared" ref="R28:U28" si="39">R10/R$18*100</f>
        <v>13.068656073478216</v>
      </c>
      <c r="S28" s="17">
        <f t="shared" si="39"/>
        <v>6.6814585336564605</v>
      </c>
      <c r="T28" s="17">
        <f t="shared" si="39"/>
        <v>11.574184362133796</v>
      </c>
      <c r="U28" s="17">
        <f t="shared" si="39"/>
        <v>11.84730126026656</v>
      </c>
      <c r="V28" s="17"/>
      <c r="W28" s="17">
        <f t="shared" ref="W28:Z28" si="40">W10/W$18*100</f>
        <v>14.437642243300793</v>
      </c>
      <c r="X28" s="17">
        <f t="shared" si="40"/>
        <v>8.3907436222717227</v>
      </c>
      <c r="Y28" s="17">
        <f t="shared" si="40"/>
        <v>10.248154668509406</v>
      </c>
      <c r="Z28" s="17">
        <f t="shared" si="40"/>
        <v>12.748571492055799</v>
      </c>
      <c r="AA28" s="17"/>
      <c r="AB28" s="17">
        <f t="shared" ref="AB28:AE28" si="41">AB10/AB$18*100</f>
        <v>13.289615050347223</v>
      </c>
      <c r="AC28" s="17">
        <f t="shared" si="41"/>
        <v>7.196405243642376</v>
      </c>
      <c r="AD28" s="17">
        <f t="shared" si="41"/>
        <v>10.056955164432724</v>
      </c>
      <c r="AE28" s="17">
        <f t="shared" si="41"/>
        <v>11.671066810576351</v>
      </c>
      <c r="AG28" t="str">
        <f>$A$10</f>
        <v>Associate professional occupations</v>
      </c>
      <c r="AH28" s="17">
        <f t="shared" ref="AH28:AK28" si="42">AH10/AH$18*100</f>
        <v>12.96060715818658</v>
      </c>
      <c r="AI28" s="17">
        <f t="shared" si="42"/>
        <v>8.6133760483001787</v>
      </c>
      <c r="AJ28" s="17">
        <f t="shared" si="42"/>
        <v>19.302520992379087</v>
      </c>
      <c r="AK28" s="17">
        <f t="shared" si="42"/>
        <v>11.724906346839106</v>
      </c>
      <c r="AL28" s="17"/>
      <c r="AM28" s="17">
        <f t="shared" ref="AM28:AP28" si="43">AM10/AM$18*100</f>
        <v>14.789887442719859</v>
      </c>
      <c r="AN28" s="17">
        <f t="shared" si="43"/>
        <v>9.4668253431074465</v>
      </c>
      <c r="AO28" s="17">
        <f t="shared" si="43"/>
        <v>18.013741432093301</v>
      </c>
      <c r="AP28" s="17">
        <f t="shared" si="43"/>
        <v>12.906344198251011</v>
      </c>
      <c r="AQ28" s="17"/>
      <c r="AR28" s="17">
        <f t="shared" ref="AR28:AU28" si="44">AR10/AR$18*100</f>
        <v>15.201510299719455</v>
      </c>
      <c r="AS28" s="17">
        <f t="shared" si="44"/>
        <v>10.724928318866898</v>
      </c>
      <c r="AT28" s="17">
        <f t="shared" si="44"/>
        <v>18.075969849385206</v>
      </c>
      <c r="AU28" s="17">
        <f t="shared" si="44"/>
        <v>13.741234368606026</v>
      </c>
    </row>
    <row r="29" spans="1:47" x14ac:dyDescent="0.2">
      <c r="A29" t="str">
        <f>$A$11</f>
        <v>Administrative and secretarial occupations</v>
      </c>
      <c r="B29" s="17">
        <f t="shared" si="30"/>
        <v>9.9819067177415945</v>
      </c>
      <c r="C29" s="17">
        <f t="shared" ref="C29:O29" si="45">C11/C$18*100</f>
        <v>14.400115365806368</v>
      </c>
      <c r="D29" s="17">
        <f t="shared" si="45"/>
        <v>3.8380843122496366</v>
      </c>
      <c r="E29" s="17">
        <f t="shared" si="45"/>
        <v>10.299623759661564</v>
      </c>
      <c r="F29" s="17"/>
      <c r="G29" s="17">
        <f t="shared" si="45"/>
        <v>9.8008447532707841</v>
      </c>
      <c r="H29" s="17">
        <f t="shared" si="45"/>
        <v>13.497894851685821</v>
      </c>
      <c r="I29" s="17">
        <f t="shared" si="45"/>
        <v>4.3264358725597933</v>
      </c>
      <c r="J29" s="17">
        <f t="shared" si="45"/>
        <v>10.047180709149769</v>
      </c>
      <c r="K29" s="17"/>
      <c r="L29" s="17">
        <f t="shared" si="45"/>
        <v>7.7595933229048546</v>
      </c>
      <c r="M29" s="17">
        <f t="shared" si="45"/>
        <v>10.601069133124961</v>
      </c>
      <c r="N29" s="17">
        <f t="shared" si="45"/>
        <v>4.5620983300569877</v>
      </c>
      <c r="O29" s="17">
        <f t="shared" si="45"/>
        <v>8.0747630556254286</v>
      </c>
      <c r="Q29" t="str">
        <f>$A$11</f>
        <v>Administrative and secretarial occupations</v>
      </c>
      <c r="R29" s="17">
        <f t="shared" ref="R29:U29" si="46">R11/R$18*100</f>
        <v>5.2442385439049808</v>
      </c>
      <c r="S29" s="17">
        <f t="shared" si="46"/>
        <v>5.625896010962772</v>
      </c>
      <c r="T29" s="17">
        <f t="shared" si="46"/>
        <v>1.4670691652042109</v>
      </c>
      <c r="U29" s="17">
        <f t="shared" si="46"/>
        <v>4.5578382981506813</v>
      </c>
      <c r="V29" s="17"/>
      <c r="W29" s="17">
        <f t="shared" ref="W29:Z29" si="47">W11/W$18*100</f>
        <v>5.5521596879760837</v>
      </c>
      <c r="X29" s="17">
        <f t="shared" si="47"/>
        <v>5.4372688741074828</v>
      </c>
      <c r="Y29" s="17">
        <f t="shared" si="47"/>
        <v>1.168552989326848</v>
      </c>
      <c r="Z29" s="17">
        <f t="shared" si="47"/>
        <v>4.7809287961600306</v>
      </c>
      <c r="AA29" s="17"/>
      <c r="AB29" s="17">
        <f t="shared" ref="AB29:AE29" si="48">AB11/AB$18*100</f>
        <v>5.5751944873243868</v>
      </c>
      <c r="AC29" s="17">
        <f t="shared" si="48"/>
        <v>4.0578882626222574</v>
      </c>
      <c r="AD29" s="17">
        <f t="shared" si="48"/>
        <v>1.4653508881383372</v>
      </c>
      <c r="AE29" s="17">
        <f t="shared" si="48"/>
        <v>4.5743402198322167</v>
      </c>
      <c r="AG29" t="str">
        <f>$A$11</f>
        <v>Administrative and secretarial occupations</v>
      </c>
      <c r="AH29" s="17">
        <f t="shared" ref="AH29:AK29" si="49">AH11/AH$18*100</f>
        <v>18.297030386714457</v>
      </c>
      <c r="AI29" s="17">
        <f t="shared" si="49"/>
        <v>17.441588438532158</v>
      </c>
      <c r="AJ29" s="17">
        <f t="shared" si="49"/>
        <v>8.0366738647025571</v>
      </c>
      <c r="AK29" s="17">
        <f t="shared" si="49"/>
        <v>16.643601791073511</v>
      </c>
      <c r="AL29" s="17"/>
      <c r="AM29" s="17">
        <f t="shared" ref="AM29:AP29" si="50">AM11/AM$18*100</f>
        <v>16.730272204014923</v>
      </c>
      <c r="AN29" s="17">
        <f t="shared" si="50"/>
        <v>16.563072271174942</v>
      </c>
      <c r="AO29" s="17">
        <f t="shared" si="50"/>
        <v>8.4057912935818546</v>
      </c>
      <c r="AP29" s="17">
        <f t="shared" si="50"/>
        <v>15.509321132870479</v>
      </c>
      <c r="AQ29" s="17"/>
      <c r="AR29" s="17">
        <f t="shared" ref="AR29:AU29" si="51">AR11/AR$18*100</f>
        <v>11.024234352044003</v>
      </c>
      <c r="AS29" s="17">
        <f t="shared" si="51"/>
        <v>13.264012820226121</v>
      </c>
      <c r="AT29" s="17">
        <f t="shared" si="51"/>
        <v>8.4603290855310949</v>
      </c>
      <c r="AU29" s="17">
        <f t="shared" si="51"/>
        <v>11.592303599013874</v>
      </c>
    </row>
    <row r="30" spans="1:47" x14ac:dyDescent="0.2">
      <c r="A30" t="str">
        <f>$A$12</f>
        <v>Skilled trades occupations</v>
      </c>
      <c r="B30" s="17">
        <f t="shared" si="30"/>
        <v>11.930173945220645</v>
      </c>
      <c r="C30" s="17">
        <f t="shared" ref="C30:O30" si="52">C12/C$18*100</f>
        <v>3.3351187524672263</v>
      </c>
      <c r="D30" s="17">
        <f t="shared" si="52"/>
        <v>26.782936079749398</v>
      </c>
      <c r="E30" s="17">
        <f t="shared" si="52"/>
        <v>11.780023561654167</v>
      </c>
      <c r="F30" s="17"/>
      <c r="G30" s="17">
        <f t="shared" si="52"/>
        <v>9.7720732099351064</v>
      </c>
      <c r="H30" s="17">
        <f t="shared" si="52"/>
        <v>2.9705458453630587</v>
      </c>
      <c r="I30" s="17">
        <f t="shared" si="52"/>
        <v>25.346649295573087</v>
      </c>
      <c r="J30" s="17">
        <f t="shared" si="52"/>
        <v>10.172532337626937</v>
      </c>
      <c r="K30" s="17"/>
      <c r="L30" s="17">
        <f t="shared" si="52"/>
        <v>8.2046806330219848</v>
      </c>
      <c r="M30" s="17">
        <f t="shared" si="52"/>
        <v>3.2930730250202656</v>
      </c>
      <c r="N30" s="17">
        <f t="shared" si="52"/>
        <v>24.792237707650518</v>
      </c>
      <c r="O30" s="17">
        <f t="shared" si="52"/>
        <v>9.4593224675292671</v>
      </c>
      <c r="Q30" t="str">
        <f>$A$12</f>
        <v>Skilled trades occupations</v>
      </c>
      <c r="R30" s="17">
        <f t="shared" ref="R30:U30" si="53">R12/R$18*100</f>
        <v>17.362983269206367</v>
      </c>
      <c r="S30" s="17">
        <f t="shared" si="53"/>
        <v>8.3868052815690213</v>
      </c>
      <c r="T30" s="17">
        <f t="shared" si="53"/>
        <v>38.985918739901798</v>
      </c>
      <c r="U30" s="17">
        <f t="shared" si="53"/>
        <v>20.305833491456518</v>
      </c>
      <c r="V30" s="17"/>
      <c r="W30" s="17">
        <f t="shared" ref="W30:Z30" si="54">W12/W$18*100</f>
        <v>14.405726713087441</v>
      </c>
      <c r="X30" s="17">
        <f t="shared" si="54"/>
        <v>6.7406634821942424</v>
      </c>
      <c r="Y30" s="17">
        <f t="shared" si="54"/>
        <v>39.917739035389346</v>
      </c>
      <c r="Z30" s="17">
        <f t="shared" si="54"/>
        <v>17.557907374002262</v>
      </c>
      <c r="AA30" s="17"/>
      <c r="AB30" s="17">
        <f t="shared" ref="AB30:AE30" si="55">AB12/AB$18*100</f>
        <v>11.896769000050607</v>
      </c>
      <c r="AC30" s="17">
        <f t="shared" si="55"/>
        <v>7.1356446277229439</v>
      </c>
      <c r="AD30" s="17">
        <f t="shared" si="55"/>
        <v>39.318958766106796</v>
      </c>
      <c r="AE30" s="17">
        <f t="shared" si="55"/>
        <v>16.049326864786142</v>
      </c>
      <c r="AG30" t="str">
        <f>$A$12</f>
        <v>Skilled trades occupations</v>
      </c>
      <c r="AH30" s="17">
        <f t="shared" ref="AH30:AK30" si="56">AH12/AH$18*100</f>
        <v>2.3950018433915936</v>
      </c>
      <c r="AI30" s="17">
        <f t="shared" si="56"/>
        <v>1.5840149871353251</v>
      </c>
      <c r="AJ30" s="17">
        <f t="shared" si="56"/>
        <v>5.173915332022224</v>
      </c>
      <c r="AK30" s="17">
        <f t="shared" si="56"/>
        <v>2.3600354312673733</v>
      </c>
      <c r="AL30" s="17"/>
      <c r="AM30" s="17">
        <f t="shared" ref="AM30:AP30" si="57">AM12/AM$18*100</f>
        <v>2.2147783555203064</v>
      </c>
      <c r="AN30" s="17">
        <f t="shared" si="57"/>
        <v>1.5369004335330954</v>
      </c>
      <c r="AO30" s="17">
        <f t="shared" si="57"/>
        <v>6.5237048995272859</v>
      </c>
      <c r="AP30" s="17">
        <f t="shared" si="57"/>
        <v>2.5124438729978515</v>
      </c>
      <c r="AQ30" s="17"/>
      <c r="AR30" s="17">
        <f t="shared" ref="AR30:AU30" si="58">AR12/AR$18*100</f>
        <v>2.6867582784232114</v>
      </c>
      <c r="AS30" s="17">
        <f t="shared" si="58"/>
        <v>1.7292232714882128</v>
      </c>
      <c r="AT30" s="17">
        <f t="shared" si="58"/>
        <v>6.5057897914516341</v>
      </c>
      <c r="AU30" s="17">
        <f t="shared" si="58"/>
        <v>2.8370917440211456</v>
      </c>
    </row>
    <row r="31" spans="1:47" x14ac:dyDescent="0.2">
      <c r="A31" t="str">
        <f>$A$13</f>
        <v>Caring, leisure and other service occupations</v>
      </c>
      <c r="B31" s="17">
        <f t="shared" si="30"/>
        <v>7.5612475058339488</v>
      </c>
      <c r="C31" s="17">
        <f t="shared" ref="C31:O31" si="59">C13/C$18*100</f>
        <v>16.822722430657546</v>
      </c>
      <c r="D31" s="17">
        <f t="shared" si="59"/>
        <v>7.4948506648767541</v>
      </c>
      <c r="E31" s="17">
        <f t="shared" si="59"/>
        <v>10.29403630350318</v>
      </c>
      <c r="F31" s="17"/>
      <c r="G31" s="17">
        <f t="shared" si="59"/>
        <v>6.9091729223899776</v>
      </c>
      <c r="H31" s="17">
        <f t="shared" si="59"/>
        <v>14.918708522944051</v>
      </c>
      <c r="I31" s="17">
        <f t="shared" si="59"/>
        <v>8.0412063316941573</v>
      </c>
      <c r="J31" s="17">
        <f t="shared" si="59"/>
        <v>9.4581704640653061</v>
      </c>
      <c r="K31" s="17"/>
      <c r="L31" s="17">
        <f t="shared" si="59"/>
        <v>7.9677964096129763</v>
      </c>
      <c r="M31" s="17">
        <f t="shared" si="59"/>
        <v>15.520225734788163</v>
      </c>
      <c r="N31" s="17">
        <f t="shared" si="59"/>
        <v>9.0989487196479448</v>
      </c>
      <c r="O31" s="17">
        <f t="shared" si="59"/>
        <v>10.372160762245731</v>
      </c>
      <c r="Q31" t="str">
        <f>$A$13</f>
        <v>Caring, leisure and other service occupations</v>
      </c>
      <c r="R31" s="17">
        <f t="shared" ref="R31:U31" si="60">R13/R$18*100</f>
        <v>2.4334837925612396</v>
      </c>
      <c r="S31" s="17">
        <f t="shared" si="60"/>
        <v>5.5756053235347647</v>
      </c>
      <c r="T31" s="17">
        <f t="shared" si="60"/>
        <v>1.9393951052405694</v>
      </c>
      <c r="U31" s="17">
        <f t="shared" si="60"/>
        <v>2.7928853040896229</v>
      </c>
      <c r="V31" s="17"/>
      <c r="W31" s="17">
        <f t="shared" ref="W31:Z31" si="61">W13/W$18*100</f>
        <v>2.362771212464494</v>
      </c>
      <c r="X31" s="17">
        <f t="shared" si="61"/>
        <v>5.4946374396691731</v>
      </c>
      <c r="Y31" s="17">
        <f t="shared" si="61"/>
        <v>2.3258171545289557</v>
      </c>
      <c r="Z31" s="17">
        <f t="shared" si="61"/>
        <v>2.8586086584699277</v>
      </c>
      <c r="AA31" s="17"/>
      <c r="AB31" s="17">
        <f t="shared" ref="AB31:AE31" si="62">AB13/AB$18*100</f>
        <v>2.9263841386918976</v>
      </c>
      <c r="AC31" s="17">
        <f t="shared" si="62"/>
        <v>6.2237809443911534</v>
      </c>
      <c r="AD31" s="17">
        <f t="shared" si="62"/>
        <v>3.2793022910453375</v>
      </c>
      <c r="AE31" s="17">
        <f t="shared" si="62"/>
        <v>3.5496723901166587</v>
      </c>
      <c r="AG31" t="str">
        <f>$A$13</f>
        <v>Caring, leisure and other service occupations</v>
      </c>
      <c r="AH31" s="17">
        <f t="shared" ref="AH31:AK31" si="63">AH13/AH$18*100</f>
        <v>16.561031335482255</v>
      </c>
      <c r="AI31" s="17">
        <f t="shared" si="63"/>
        <v>20.721394488385837</v>
      </c>
      <c r="AJ31" s="17">
        <f t="shared" si="63"/>
        <v>17.332441833735771</v>
      </c>
      <c r="AK31" s="17">
        <f t="shared" si="63"/>
        <v>18.581900325866265</v>
      </c>
      <c r="AL31" s="17"/>
      <c r="AM31" s="17">
        <f t="shared" ref="AM31:AP31" si="64">AM13/AM$18*100</f>
        <v>14.324163755249591</v>
      </c>
      <c r="AN31" s="17">
        <f t="shared" si="64"/>
        <v>18.502356984548133</v>
      </c>
      <c r="AO31" s="17">
        <f t="shared" si="64"/>
        <v>15.424350256034502</v>
      </c>
      <c r="AP31" s="17">
        <f t="shared" si="64"/>
        <v>16.303215842215639</v>
      </c>
      <c r="AQ31" s="17"/>
      <c r="AR31" s="17">
        <f t="shared" ref="AR31:AU31" si="65">AR13/AR$18*100</f>
        <v>15.502318529096225</v>
      </c>
      <c r="AS31" s="17">
        <f t="shared" si="65"/>
        <v>19.303692745256143</v>
      </c>
      <c r="AT31" s="17">
        <f t="shared" si="65"/>
        <v>16.42480435348935</v>
      </c>
      <c r="AU31" s="17">
        <f t="shared" si="65"/>
        <v>17.228012349764612</v>
      </c>
    </row>
    <row r="32" spans="1:47" x14ac:dyDescent="0.2">
      <c r="A32" t="str">
        <f>$A$14</f>
        <v>Sales and customer service occupations</v>
      </c>
      <c r="B32" s="17">
        <f t="shared" si="30"/>
        <v>5.7532036088575156</v>
      </c>
      <c r="C32" s="17">
        <f t="shared" ref="C32:O32" si="66">C14/C$18*100</f>
        <v>17.829488123929309</v>
      </c>
      <c r="D32" s="17">
        <f t="shared" si="66"/>
        <v>4.4156109284259069</v>
      </c>
      <c r="E32" s="17">
        <f t="shared" si="66"/>
        <v>9.1147552711457251</v>
      </c>
      <c r="F32" s="17"/>
      <c r="G32" s="17">
        <f t="shared" si="66"/>
        <v>5.5500140906283661</v>
      </c>
      <c r="H32" s="17">
        <f t="shared" si="66"/>
        <v>17.003669003893137</v>
      </c>
      <c r="I32" s="17">
        <f t="shared" si="66"/>
        <v>3.659275716318009</v>
      </c>
      <c r="J32" s="17">
        <f t="shared" si="66"/>
        <v>8.6506920392037063</v>
      </c>
      <c r="K32" s="17"/>
      <c r="L32" s="17">
        <f t="shared" si="66"/>
        <v>5.0269311755582669</v>
      </c>
      <c r="M32" s="17">
        <f t="shared" si="66"/>
        <v>15.902418941726795</v>
      </c>
      <c r="N32" s="17">
        <f t="shared" si="66"/>
        <v>2.7457493753778466</v>
      </c>
      <c r="O32" s="17">
        <f t="shared" si="66"/>
        <v>7.8530938849276737</v>
      </c>
      <c r="Q32" t="str">
        <f>$A$14</f>
        <v>Sales and customer service occupations</v>
      </c>
      <c r="R32" s="17">
        <f t="shared" ref="R32:U32" si="67">R14/R$18*100</f>
        <v>4.2891082423324356</v>
      </c>
      <c r="S32" s="17">
        <f t="shared" si="67"/>
        <v>20.526796330190926</v>
      </c>
      <c r="T32" s="17">
        <f t="shared" si="67"/>
        <v>3.7985201549102703</v>
      </c>
      <c r="U32" s="17">
        <f t="shared" si="67"/>
        <v>6.5515289236646517</v>
      </c>
      <c r="V32" s="17"/>
      <c r="W32" s="17">
        <f t="shared" ref="W32:Z32" si="68">W14/W$18*100</f>
        <v>4.2083526782225906</v>
      </c>
      <c r="X32" s="17">
        <f t="shared" si="68"/>
        <v>19.360439567873996</v>
      </c>
      <c r="Y32" s="17">
        <f t="shared" si="68"/>
        <v>3.5766081549401592</v>
      </c>
      <c r="Z32" s="17">
        <f t="shared" si="68"/>
        <v>6.5294450024265842</v>
      </c>
      <c r="AA32" s="17"/>
      <c r="AB32" s="17">
        <f t="shared" ref="AB32:AE32" si="69">AB14/AB$18*100</f>
        <v>4.3167775885340163</v>
      </c>
      <c r="AC32" s="17">
        <f t="shared" si="69"/>
        <v>18.210554857669962</v>
      </c>
      <c r="AD32" s="17">
        <f t="shared" si="69"/>
        <v>2.790031403907252</v>
      </c>
      <c r="AE32" s="17">
        <f t="shared" si="69"/>
        <v>6.3978811449462931</v>
      </c>
      <c r="AG32" t="str">
        <f>$A$14</f>
        <v>Sales and customer service occupations</v>
      </c>
      <c r="AH32" s="17">
        <f t="shared" ref="AH32:AK32" si="70">AH14/AH$18*100</f>
        <v>8.3228504454715448</v>
      </c>
      <c r="AI32" s="17">
        <f t="shared" si="70"/>
        <v>16.894500070130732</v>
      </c>
      <c r="AJ32" s="17">
        <f t="shared" si="70"/>
        <v>5.5083542109082773</v>
      </c>
      <c r="AK32" s="17">
        <f t="shared" si="70"/>
        <v>11.946810168870401</v>
      </c>
      <c r="AL32" s="17"/>
      <c r="AM32" s="17">
        <f t="shared" ref="AM32:AP32" si="71">AM14/AM$18*100</f>
        <v>7.7382076794332137</v>
      </c>
      <c r="AN32" s="17">
        <f t="shared" si="71"/>
        <v>16.107470627275113</v>
      </c>
      <c r="AO32" s="17">
        <f t="shared" si="71"/>
        <v>3.766065732641906</v>
      </c>
      <c r="AP32" s="17">
        <f t="shared" si="71"/>
        <v>10.85084299660449</v>
      </c>
      <c r="AQ32" s="17"/>
      <c r="AR32" s="17">
        <f t="shared" ref="AR32:AU32" si="72">AR14/AR$18*100</f>
        <v>6.088274232250404</v>
      </c>
      <c r="AS32" s="17">
        <f t="shared" si="72"/>
        <v>14.963053809082968</v>
      </c>
      <c r="AT32" s="17">
        <f t="shared" si="72"/>
        <v>2.6900065133053896</v>
      </c>
      <c r="AU32" s="17">
        <f t="shared" si="72"/>
        <v>9.3154228812416218</v>
      </c>
    </row>
    <row r="33" spans="1:47" x14ac:dyDescent="0.2">
      <c r="A33" t="str">
        <f>$A$15</f>
        <v>Process, plant and machine operatives</v>
      </c>
      <c r="B33" s="17">
        <f t="shared" si="30"/>
        <v>7.6814050180329181</v>
      </c>
      <c r="C33" s="17">
        <f t="shared" ref="C33:O33" si="73">C15/C$18*100</f>
        <v>2.7104281121798275</v>
      </c>
      <c r="D33" s="17">
        <f t="shared" si="73"/>
        <v>4.280893479033228</v>
      </c>
      <c r="E33" s="17">
        <f t="shared" si="73"/>
        <v>5.660321849235082</v>
      </c>
      <c r="F33" s="17"/>
      <c r="G33" s="17">
        <f t="shared" si="73"/>
        <v>6.1993952644711667</v>
      </c>
      <c r="H33" s="17">
        <f t="shared" si="73"/>
        <v>2.7247991440870329</v>
      </c>
      <c r="I33" s="17">
        <f t="shared" si="73"/>
        <v>4.7210779769083189</v>
      </c>
      <c r="J33" s="17">
        <f t="shared" si="73"/>
        <v>4.9404834882593329</v>
      </c>
      <c r="K33" s="17"/>
      <c r="L33" s="17">
        <f t="shared" si="73"/>
        <v>5.8752582233292534</v>
      </c>
      <c r="M33" s="17">
        <f t="shared" si="73"/>
        <v>3.6538642209752261</v>
      </c>
      <c r="N33" s="17">
        <f t="shared" si="73"/>
        <v>5.1737076026637148</v>
      </c>
      <c r="O33" s="17">
        <f t="shared" si="73"/>
        <v>5.1080563138842257</v>
      </c>
      <c r="Q33" t="str">
        <f>$A$15</f>
        <v>Process, plant and machine operatives</v>
      </c>
      <c r="R33" s="17">
        <f t="shared" ref="R33:U33" si="74">R15/R$18*100</f>
        <v>10.759360975840943</v>
      </c>
      <c r="S33" s="17">
        <f t="shared" si="74"/>
        <v>7.6029535077867516</v>
      </c>
      <c r="T33" s="17">
        <f t="shared" si="74"/>
        <v>5.7732490246973951</v>
      </c>
      <c r="U33" s="17">
        <f t="shared" si="74"/>
        <v>9.3215644314078077</v>
      </c>
      <c r="V33" s="17"/>
      <c r="W33" s="17">
        <f t="shared" ref="W33:Z33" si="75">W15/W$18*100</f>
        <v>8.9569925432126016</v>
      </c>
      <c r="X33" s="17">
        <f t="shared" si="75"/>
        <v>7.6873523480672192</v>
      </c>
      <c r="Y33" s="17">
        <f t="shared" si="75"/>
        <v>6.3420976649358227</v>
      </c>
      <c r="Z33" s="17">
        <f t="shared" si="75"/>
        <v>8.3043473080000201</v>
      </c>
      <c r="AA33" s="17"/>
      <c r="AB33" s="17">
        <f t="shared" ref="AB33:AE33" si="76">AB15/AB$18*100</f>
        <v>8.6120584647598832</v>
      </c>
      <c r="AC33" s="17">
        <f t="shared" si="76"/>
        <v>8.5394979259699237</v>
      </c>
      <c r="AD33" s="17">
        <f t="shared" si="76"/>
        <v>6.7723962295768798</v>
      </c>
      <c r="AE33" s="17">
        <f t="shared" si="76"/>
        <v>8.2669744480154872</v>
      </c>
      <c r="AG33" t="str">
        <f>$A$15</f>
        <v>Process, plant and machine operatives</v>
      </c>
      <c r="AH33" s="17">
        <f t="shared" ref="AH33:AK33" si="77">AH15/AH$18*100</f>
        <v>2.2792570630191014</v>
      </c>
      <c r="AI33" s="17">
        <f t="shared" si="77"/>
        <v>1.0144955572054459</v>
      </c>
      <c r="AJ33" s="17">
        <f t="shared" si="77"/>
        <v>1.6382328404545656</v>
      </c>
      <c r="AK33" s="17">
        <f t="shared" si="77"/>
        <v>1.61509190035054</v>
      </c>
      <c r="AL33" s="17"/>
      <c r="AM33" s="17">
        <f t="shared" ref="AM33:AP33" si="78">AM15/AM$18*100</f>
        <v>1.7018695623436391</v>
      </c>
      <c r="AN33" s="17">
        <f t="shared" si="78"/>
        <v>0.83771170619262403</v>
      </c>
      <c r="AO33" s="17">
        <f t="shared" si="78"/>
        <v>2.6270435568703525</v>
      </c>
      <c r="AP33" s="17">
        <f t="shared" si="78"/>
        <v>1.451494193163871</v>
      </c>
      <c r="AQ33" s="17"/>
      <c r="AR33" s="17">
        <f t="shared" ref="AR33:AU33" si="79">AR15/AR$18*100</f>
        <v>1.7850388864570372</v>
      </c>
      <c r="AS33" s="17">
        <f t="shared" si="79"/>
        <v>1.665509063187157</v>
      </c>
      <c r="AT33" s="17">
        <f t="shared" si="79"/>
        <v>3.1612550889390745</v>
      </c>
      <c r="AU33" s="17">
        <f t="shared" si="79"/>
        <v>1.9336904925808787</v>
      </c>
    </row>
    <row r="34" spans="1:47" x14ac:dyDescent="0.2">
      <c r="A34" t="str">
        <f>$A$16</f>
        <v>Elementary occupations</v>
      </c>
      <c r="B34" s="17">
        <f t="shared" si="30"/>
        <v>8.5674398749656717</v>
      </c>
      <c r="C34" s="17">
        <f t="shared" ref="C34:O34" si="80">C16/C$18*100</f>
        <v>19.405523316895447</v>
      </c>
      <c r="D34" s="17">
        <f t="shared" si="80"/>
        <v>5.8486855901368742</v>
      </c>
      <c r="E34" s="17">
        <f t="shared" si="80"/>
        <v>11.339404126111505</v>
      </c>
      <c r="F34" s="17"/>
      <c r="G34" s="17">
        <f t="shared" si="80"/>
        <v>6.8075912491617316</v>
      </c>
      <c r="H34" s="17">
        <f t="shared" si="80"/>
        <v>18.43451039098445</v>
      </c>
      <c r="I34" s="17">
        <f t="shared" si="80"/>
        <v>5.9118493331507525</v>
      </c>
      <c r="J34" s="17">
        <f t="shared" si="80"/>
        <v>10.11395310722609</v>
      </c>
      <c r="K34" s="17"/>
      <c r="L34" s="17">
        <f t="shared" si="80"/>
        <v>6.2923811055863768</v>
      </c>
      <c r="M34" s="17">
        <f t="shared" si="80"/>
        <v>15.751863648868483</v>
      </c>
      <c r="N34" s="17">
        <f t="shared" si="80"/>
        <v>7.4063085889121609</v>
      </c>
      <c r="O34" s="17">
        <f t="shared" si="80"/>
        <v>9.2545977865837941</v>
      </c>
      <c r="Q34" t="str">
        <f>$A$16</f>
        <v>Elementary occupations</v>
      </c>
      <c r="R34" s="17">
        <f t="shared" ref="R34:U34" si="81">R16/R$18*100</f>
        <v>9.5406494521281644</v>
      </c>
      <c r="S34" s="17">
        <f t="shared" si="81"/>
        <v>31.349091564958432</v>
      </c>
      <c r="T34" s="17">
        <f t="shared" si="81"/>
        <v>4.5150241389791121</v>
      </c>
      <c r="U34" s="17">
        <f t="shared" si="81"/>
        <v>11.721619248310603</v>
      </c>
      <c r="V34" s="17"/>
      <c r="W34" s="17">
        <f t="shared" ref="W34:Z34" si="82">W16/W$18*100</f>
        <v>7.6415621182808851</v>
      </c>
      <c r="X34" s="17">
        <f t="shared" si="82"/>
        <v>27.86955581917297</v>
      </c>
      <c r="Y34" s="17">
        <f t="shared" si="82"/>
        <v>5.0640729277000531</v>
      </c>
      <c r="Z34" s="17">
        <f t="shared" si="82"/>
        <v>10.442410176096105</v>
      </c>
      <c r="AA34" s="17"/>
      <c r="AB34" s="17">
        <f t="shared" ref="AB34:AE34" si="83">AB16/AB$18*100</f>
        <v>6.5553912820002402</v>
      </c>
      <c r="AC34" s="17">
        <f t="shared" si="83"/>
        <v>25.009315606239095</v>
      </c>
      <c r="AD34" s="17">
        <f t="shared" si="83"/>
        <v>6.3111407087334994</v>
      </c>
      <c r="AE34" s="17">
        <f t="shared" si="83"/>
        <v>9.6421759011169641</v>
      </c>
      <c r="AG34" t="str">
        <f>$A$16</f>
        <v>Elementary occupations</v>
      </c>
      <c r="AH34" s="17">
        <f t="shared" ref="AH34:AK34" si="84">AH16/AH$18*100</f>
        <v>6.8593510656597845</v>
      </c>
      <c r="AI34" s="17">
        <f t="shared" si="84"/>
        <v>15.265435207667441</v>
      </c>
      <c r="AJ34" s="17">
        <f t="shared" si="84"/>
        <v>8.2103309985678852</v>
      </c>
      <c r="AK34" s="17">
        <f t="shared" si="84"/>
        <v>10.917102673931076</v>
      </c>
      <c r="AL34" s="17"/>
      <c r="AM34" s="17">
        <f t="shared" ref="AM34:AP34" si="85">AM16/AM$18*100</f>
        <v>5.447419679656555</v>
      </c>
      <c r="AN34" s="17">
        <f t="shared" si="85"/>
        <v>14.846688765370949</v>
      </c>
      <c r="AO34" s="17">
        <f t="shared" si="85"/>
        <v>7.0070075145236332</v>
      </c>
      <c r="AP34" s="17">
        <f t="shared" si="85"/>
        <v>9.7732784370861356</v>
      </c>
      <c r="AQ34" s="17"/>
      <c r="AR34" s="17">
        <f t="shared" ref="AR34:AU34" si="86">AR16/AR$18*100</f>
        <v>5.899305537601256</v>
      </c>
      <c r="AS34" s="17">
        <f t="shared" si="86"/>
        <v>11.984265941206719</v>
      </c>
      <c r="AT34" s="17">
        <f t="shared" si="86"/>
        <v>8.7849218575081789</v>
      </c>
      <c r="AU34" s="17">
        <f t="shared" si="86"/>
        <v>8.8651243442156407</v>
      </c>
    </row>
    <row r="35" spans="1:47" x14ac:dyDescent="0.2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2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2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2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2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2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2">
      <c r="B41" s="375" t="str">
        <f>B5&amp;"-"&amp;G5</f>
        <v>2015-2020</v>
      </c>
      <c r="C41" s="375"/>
      <c r="D41" s="375"/>
      <c r="E41" s="375"/>
      <c r="F41" s="1"/>
      <c r="G41" s="375" t="str">
        <f>G5&amp;"-"&amp;L5</f>
        <v>2020-2035</v>
      </c>
      <c r="H41" s="375"/>
      <c r="I41" s="375"/>
      <c r="J41" s="375"/>
      <c r="K41" s="1"/>
      <c r="L41" s="375" t="str">
        <f>B5&amp;"-"&amp;L5</f>
        <v>2015-2035</v>
      </c>
      <c r="M41" s="375"/>
      <c r="N41" s="375"/>
      <c r="O41" s="375"/>
      <c r="R41" s="375" t="str">
        <f>R5&amp;"-"&amp;W5</f>
        <v>2015-2020</v>
      </c>
      <c r="S41" s="375"/>
      <c r="T41" s="375"/>
      <c r="U41" s="375"/>
      <c r="V41" s="1"/>
      <c r="W41" s="375" t="str">
        <f>W5&amp;"-"&amp;AB5</f>
        <v>2020-2035</v>
      </c>
      <c r="X41" s="375"/>
      <c r="Y41" s="375"/>
      <c r="Z41" s="375"/>
      <c r="AA41" s="1"/>
      <c r="AB41" s="375" t="str">
        <f>R5&amp;"-"&amp;AB5</f>
        <v>2015-2035</v>
      </c>
      <c r="AC41" s="375"/>
      <c r="AD41" s="375"/>
      <c r="AE41" s="375"/>
      <c r="AH41" s="375" t="str">
        <f>AH5&amp;"-"&amp;AM5</f>
        <v>2015-2020</v>
      </c>
      <c r="AI41" s="375"/>
      <c r="AJ41" s="375"/>
      <c r="AK41" s="375"/>
      <c r="AL41" s="1"/>
      <c r="AM41" s="375" t="str">
        <f>AM5&amp;"-"&amp;AR5</f>
        <v>2020-2035</v>
      </c>
      <c r="AN41" s="375"/>
      <c r="AO41" s="375"/>
      <c r="AP41" s="375"/>
      <c r="AQ41" s="1"/>
      <c r="AR41" s="375" t="str">
        <f>AH5&amp;"-"&amp;AR5</f>
        <v>2015-2035</v>
      </c>
      <c r="AS41" s="375"/>
      <c r="AT41" s="375"/>
      <c r="AU41" s="375"/>
    </row>
    <row r="42" spans="1:47" x14ac:dyDescent="0.2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2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2">
      <c r="A44" t="str">
        <f>$A$8</f>
        <v>Managers, directors and senior officials</v>
      </c>
      <c r="B44" s="26">
        <f>G8-B8</f>
        <v>29.338992188396389</v>
      </c>
      <c r="C44" s="26">
        <f t="shared" ref="C44:E44" si="94">H8-C8</f>
        <v>14.922983033368268</v>
      </c>
      <c r="D44" s="26">
        <f t="shared" si="94"/>
        <v>10.691722490252772</v>
      </c>
      <c r="E44" s="26">
        <f t="shared" si="94"/>
        <v>54.953697712017401</v>
      </c>
      <c r="F44" s="26"/>
      <c r="G44" s="26">
        <f>L8-G8</f>
        <v>31.967086352646817</v>
      </c>
      <c r="H44" s="26">
        <f t="shared" ref="H44:J44" si="95">M8-H8</f>
        <v>13.071347146522037</v>
      </c>
      <c r="I44" s="26">
        <f t="shared" si="95"/>
        <v>12.43903753988171</v>
      </c>
      <c r="J44" s="26">
        <f t="shared" si="95"/>
        <v>57.477471039050556</v>
      </c>
      <c r="K44" s="26"/>
      <c r="L44" s="26">
        <f>L8-B8</f>
        <v>61.306078541043206</v>
      </c>
      <c r="M44" s="26">
        <f t="shared" ref="M44:O44" si="96">M8-C8</f>
        <v>27.994330179890305</v>
      </c>
      <c r="N44" s="26">
        <f t="shared" si="96"/>
        <v>23.130760030134482</v>
      </c>
      <c r="O44" s="26">
        <f t="shared" si="96"/>
        <v>112.43116875106796</v>
      </c>
      <c r="Q44" t="str">
        <f>$A$8</f>
        <v>Managers, directors and senior officials</v>
      </c>
      <c r="R44" s="26">
        <f>W8-R8</f>
        <v>18.009332424404079</v>
      </c>
      <c r="S44" s="26">
        <f t="shared" ref="S44:S52" si="97">X8-S8</f>
        <v>5.6867040512882596</v>
      </c>
      <c r="T44" s="26">
        <f t="shared" ref="T44:T52" si="98">Y8-T8</f>
        <v>2.7375375116847067E-3</v>
      </c>
      <c r="U44" s="26">
        <f t="shared" ref="U44:U52" si="99">Z8-U8</f>
        <v>23.69877401320403</v>
      </c>
      <c r="V44" s="26"/>
      <c r="W44" s="26">
        <f>AB8-W8</f>
        <v>13.891499926502689</v>
      </c>
      <c r="X44" s="26">
        <f t="shared" ref="X44:X52" si="100">AC8-X8</f>
        <v>6.4057208448467637</v>
      </c>
      <c r="Y44" s="26">
        <f t="shared" ref="Y44:Y52" si="101">AD8-Y8</f>
        <v>9.6851325731526998</v>
      </c>
      <c r="Z44" s="26">
        <f t="shared" ref="Z44:Z52" si="102">AE8-Z8</f>
        <v>29.982353344502172</v>
      </c>
      <c r="AA44" s="26"/>
      <c r="AB44" s="26">
        <f>AB8-R8</f>
        <v>31.900832350906768</v>
      </c>
      <c r="AC44" s="26">
        <f t="shared" ref="AC44:AC52" si="103">AC8-S8</f>
        <v>12.092424896135023</v>
      </c>
      <c r="AD44" s="26">
        <f t="shared" ref="AD44:AD52" si="104">AD8-T8</f>
        <v>9.6878701106643845</v>
      </c>
      <c r="AE44" s="26">
        <f t="shared" ref="AE44:AE52" si="105">AE8-U8</f>
        <v>53.681127357706202</v>
      </c>
      <c r="AG44" t="str">
        <f>$A$8</f>
        <v>Managers, directors and senior officials</v>
      </c>
      <c r="AH44" s="26">
        <f>AM8-AH8</f>
        <v>11.329659763992083</v>
      </c>
      <c r="AI44" s="26">
        <f t="shared" ref="AI44:AI52" si="106">AN8-AI8</f>
        <v>9.2362789820799698</v>
      </c>
      <c r="AJ44" s="26">
        <f t="shared" ref="AJ44:AJ52" si="107">AO8-AJ8</f>
        <v>10.68898495274113</v>
      </c>
      <c r="AK44" s="26">
        <f t="shared" ref="AK44:AK52" si="108">AP8-AK8</f>
        <v>31.254923698813187</v>
      </c>
      <c r="AL44" s="26"/>
      <c r="AM44" s="26">
        <f>AR8-AM8</f>
        <v>18.075586426144326</v>
      </c>
      <c r="AN44" s="26">
        <f t="shared" ref="AN44:AN52" si="109">AS8-AN8</f>
        <v>6.6656263016753279</v>
      </c>
      <c r="AO44" s="26">
        <f t="shared" ref="AO44:AO52" si="110">AT8-AO8</f>
        <v>2.7539049667290385</v>
      </c>
      <c r="AP44" s="26">
        <f t="shared" ref="AP44:AP52" si="111">AU8-AP8</f>
        <v>27.495117694548682</v>
      </c>
      <c r="AQ44" s="26"/>
      <c r="AR44" s="26">
        <f>AR8-AH8</f>
        <v>29.40524619013641</v>
      </c>
      <c r="AS44" s="26">
        <f t="shared" ref="AS44:AS52" si="112">AS8-AI8</f>
        <v>15.901905283755298</v>
      </c>
      <c r="AT44" s="26">
        <f t="shared" ref="AT44:AT52" si="113">AT8-AJ8</f>
        <v>13.442889919470169</v>
      </c>
      <c r="AU44" s="26">
        <f t="shared" ref="AU44:AU52" si="114">AU8-AK8</f>
        <v>58.750041393361869</v>
      </c>
    </row>
    <row r="45" spans="1:47" x14ac:dyDescent="0.2">
      <c r="A45" t="str">
        <f>$A$9</f>
        <v>Professional occupations</v>
      </c>
      <c r="B45" s="26">
        <f t="shared" ref="B45:B54" si="115">G9-B9</f>
        <v>77.170769904337476</v>
      </c>
      <c r="C45" s="26">
        <f t="shared" ref="C45:C54" si="116">H9-C9</f>
        <v>24.725047690895551</v>
      </c>
      <c r="D45" s="26">
        <f t="shared" ref="D45:D54" si="117">I9-D9</f>
        <v>-4.4548306772905875</v>
      </c>
      <c r="E45" s="26">
        <f t="shared" ref="E45:E54" si="118">J9-E9</f>
        <v>97.440986917942496</v>
      </c>
      <c r="F45" s="26"/>
      <c r="G45" s="26">
        <f t="shared" ref="G45:G54" si="119">L9-G9</f>
        <v>107.92260354611449</v>
      </c>
      <c r="H45" s="26">
        <f t="shared" ref="H45:H54" si="120">M9-H9</f>
        <v>45.800123284391901</v>
      </c>
      <c r="I45" s="26">
        <f t="shared" ref="I45:I54" si="121">N9-I9</f>
        <v>3.3484055372328783</v>
      </c>
      <c r="J45" s="26">
        <f t="shared" ref="J45:J54" si="122">O9-J9</f>
        <v>157.07113236773921</v>
      </c>
      <c r="K45" s="26"/>
      <c r="L45" s="26">
        <f t="shared" ref="L45:L54" si="123">L9-B9</f>
        <v>185.09337345045196</v>
      </c>
      <c r="M45" s="26">
        <f t="shared" ref="M45:M54" si="124">M9-C9</f>
        <v>70.525170975287452</v>
      </c>
      <c r="N45" s="26">
        <f t="shared" ref="N45:N54" si="125">N9-D9</f>
        <v>-1.1064251400577092</v>
      </c>
      <c r="O45" s="26">
        <f t="shared" ref="O45:O54" si="126">O9-E9</f>
        <v>254.51211928568171</v>
      </c>
      <c r="Q45" t="str">
        <f>$A$9</f>
        <v>Professional occupations</v>
      </c>
      <c r="R45" s="26">
        <f t="shared" ref="R45:R52" si="127">W9-R9</f>
        <v>41.511899186816777</v>
      </c>
      <c r="S45" s="26">
        <f t="shared" si="97"/>
        <v>9.179118270077737</v>
      </c>
      <c r="T45" s="26">
        <f t="shared" si="98"/>
        <v>-12.489091015379174</v>
      </c>
      <c r="U45" s="26">
        <f t="shared" si="99"/>
        <v>38.201926441515297</v>
      </c>
      <c r="V45" s="26"/>
      <c r="W45" s="26">
        <f t="shared" ref="W45:W52" si="128">AB9-W9</f>
        <v>57.254212230103576</v>
      </c>
      <c r="X45" s="26">
        <f t="shared" si="100"/>
        <v>13.207234964525227</v>
      </c>
      <c r="Y45" s="26">
        <f t="shared" si="101"/>
        <v>-1.8588968735930891</v>
      </c>
      <c r="Z45" s="26">
        <f t="shared" si="102"/>
        <v>68.602550321035721</v>
      </c>
      <c r="AA45" s="26"/>
      <c r="AB45" s="26">
        <f t="shared" ref="AB45:AB52" si="129">AB9-R9</f>
        <v>98.766111416920353</v>
      </c>
      <c r="AC45" s="26">
        <f t="shared" si="103"/>
        <v>22.386353234602964</v>
      </c>
      <c r="AD45" s="26">
        <f t="shared" si="104"/>
        <v>-14.347987888972263</v>
      </c>
      <c r="AE45" s="26">
        <f t="shared" si="105"/>
        <v>106.80447676255102</v>
      </c>
      <c r="AG45" t="str">
        <f>$A$9</f>
        <v>Professional occupations</v>
      </c>
      <c r="AH45" s="26">
        <f t="shared" ref="AH45:AH52" si="130">AM9-AH9</f>
        <v>35.658870717520898</v>
      </c>
      <c r="AI45" s="26">
        <f t="shared" si="106"/>
        <v>15.545929420817785</v>
      </c>
      <c r="AJ45" s="26">
        <f t="shared" si="107"/>
        <v>8.0342603380886892</v>
      </c>
      <c r="AK45" s="26">
        <f t="shared" si="108"/>
        <v>59.239060476427369</v>
      </c>
      <c r="AL45" s="26"/>
      <c r="AM45" s="26">
        <f t="shared" ref="AM45:AM52" si="131">AR9-AM9</f>
        <v>50.668391316010627</v>
      </c>
      <c r="AN45" s="26">
        <f t="shared" si="109"/>
        <v>32.592888319866674</v>
      </c>
      <c r="AO45" s="26">
        <f t="shared" si="110"/>
        <v>5.2073024108258821</v>
      </c>
      <c r="AP45" s="26">
        <f t="shared" si="111"/>
        <v>88.468582046703204</v>
      </c>
      <c r="AQ45" s="26"/>
      <c r="AR45" s="26">
        <f t="shared" ref="AR45:AR52" si="132">AR9-AH9</f>
        <v>86.327262033531525</v>
      </c>
      <c r="AS45" s="26">
        <f t="shared" si="112"/>
        <v>48.138817740684459</v>
      </c>
      <c r="AT45" s="26">
        <f t="shared" si="113"/>
        <v>13.241562748914571</v>
      </c>
      <c r="AU45" s="26">
        <f t="shared" si="114"/>
        <v>147.70764252313057</v>
      </c>
    </row>
    <row r="46" spans="1:47" x14ac:dyDescent="0.2">
      <c r="A46" t="str">
        <f>$A$10</f>
        <v>Associate professional occupations</v>
      </c>
      <c r="B46" s="26">
        <f t="shared" si="115"/>
        <v>35.007975598702473</v>
      </c>
      <c r="C46" s="26">
        <f t="shared" si="116"/>
        <v>11.861038279577443</v>
      </c>
      <c r="D46" s="26">
        <f t="shared" si="117"/>
        <v>-3.320558943049619</v>
      </c>
      <c r="E46" s="26">
        <f t="shared" si="118"/>
        <v>43.548454935230325</v>
      </c>
      <c r="F46" s="26"/>
      <c r="G46" s="26">
        <f t="shared" si="119"/>
        <v>13.271960772503263</v>
      </c>
      <c r="H46" s="26">
        <f t="shared" si="120"/>
        <v>12.830638699745947</v>
      </c>
      <c r="I46" s="26">
        <f t="shared" si="121"/>
        <v>9.7573533166936386</v>
      </c>
      <c r="J46" s="26">
        <f t="shared" si="122"/>
        <v>35.859952788942849</v>
      </c>
      <c r="K46" s="26"/>
      <c r="L46" s="26">
        <f t="shared" si="123"/>
        <v>48.279936371205736</v>
      </c>
      <c r="M46" s="26">
        <f t="shared" si="124"/>
        <v>24.69167697932339</v>
      </c>
      <c r="N46" s="26">
        <f t="shared" si="125"/>
        <v>6.4367943736440196</v>
      </c>
      <c r="O46" s="26">
        <f t="shared" si="126"/>
        <v>79.408407724173173</v>
      </c>
      <c r="Q46" t="str">
        <f>$A$10</f>
        <v>Associate professional occupations</v>
      </c>
      <c r="R46" s="26">
        <f t="shared" si="127"/>
        <v>16.574908625671881</v>
      </c>
      <c r="S46" s="26">
        <f t="shared" si="97"/>
        <v>5.7113714764632029</v>
      </c>
      <c r="T46" s="26">
        <f t="shared" si="98"/>
        <v>-7.3731145403243161</v>
      </c>
      <c r="U46" s="26">
        <f t="shared" si="99"/>
        <v>14.913165561810786</v>
      </c>
      <c r="V46" s="26"/>
      <c r="W46" s="26">
        <f t="shared" si="128"/>
        <v>-3.6662875921383886</v>
      </c>
      <c r="X46" s="26">
        <f t="shared" si="100"/>
        <v>-0.23901094535927569</v>
      </c>
      <c r="Y46" s="26">
        <f t="shared" si="101"/>
        <v>3.2932743728235288</v>
      </c>
      <c r="Z46" s="26">
        <f t="shared" si="102"/>
        <v>-0.6120241646741249</v>
      </c>
      <c r="AA46" s="26"/>
      <c r="AB46" s="26">
        <f t="shared" si="129"/>
        <v>12.908621033533493</v>
      </c>
      <c r="AC46" s="26">
        <f t="shared" si="103"/>
        <v>5.4723605311039272</v>
      </c>
      <c r="AD46" s="26">
        <f t="shared" si="104"/>
        <v>-4.0798401675007874</v>
      </c>
      <c r="AE46" s="26">
        <f t="shared" si="105"/>
        <v>14.301141397136661</v>
      </c>
      <c r="AG46" t="str">
        <f>$A$10</f>
        <v>Associate professional occupations</v>
      </c>
      <c r="AH46" s="26">
        <f t="shared" si="130"/>
        <v>18.433066973030677</v>
      </c>
      <c r="AI46" s="26">
        <f t="shared" si="106"/>
        <v>6.1496668031142363</v>
      </c>
      <c r="AJ46" s="26">
        <f t="shared" si="107"/>
        <v>4.0525555972747114</v>
      </c>
      <c r="AK46" s="26">
        <f t="shared" si="108"/>
        <v>28.635289373419653</v>
      </c>
      <c r="AL46" s="26"/>
      <c r="AM46" s="26">
        <f t="shared" si="131"/>
        <v>16.938248364641751</v>
      </c>
      <c r="AN46" s="26">
        <f t="shared" si="109"/>
        <v>13.069649645105237</v>
      </c>
      <c r="AO46" s="26">
        <f t="shared" si="110"/>
        <v>6.4640789438700992</v>
      </c>
      <c r="AP46" s="26">
        <f t="shared" si="111"/>
        <v>36.471976953617059</v>
      </c>
      <c r="AQ46" s="26"/>
      <c r="AR46" s="26">
        <f t="shared" si="132"/>
        <v>35.371315337672428</v>
      </c>
      <c r="AS46" s="26">
        <f t="shared" si="112"/>
        <v>19.219316448219473</v>
      </c>
      <c r="AT46" s="26">
        <f t="shared" si="113"/>
        <v>10.516634541144811</v>
      </c>
      <c r="AU46" s="26">
        <f t="shared" si="114"/>
        <v>65.107266327036712</v>
      </c>
    </row>
    <row r="47" spans="1:47" x14ac:dyDescent="0.2">
      <c r="A47" t="str">
        <f>$A$11</f>
        <v>Administrative and secretarial occupations</v>
      </c>
      <c r="B47" s="26">
        <f t="shared" si="115"/>
        <v>4.9242346767127287</v>
      </c>
      <c r="C47" s="26">
        <f t="shared" si="116"/>
        <v>-3.0259937778709372</v>
      </c>
      <c r="D47" s="26">
        <f t="shared" si="117"/>
        <v>2.214504918761083</v>
      </c>
      <c r="E47" s="26">
        <f t="shared" si="118"/>
        <v>4.1127458176028995</v>
      </c>
      <c r="F47" s="26"/>
      <c r="G47" s="26">
        <f t="shared" si="119"/>
        <v>-20.904153641752686</v>
      </c>
      <c r="H47" s="26">
        <f t="shared" si="120"/>
        <v>-16.194211126960894</v>
      </c>
      <c r="I47" s="26">
        <f t="shared" si="121"/>
        <v>4.3872973789963652</v>
      </c>
      <c r="J47" s="26">
        <f t="shared" si="122"/>
        <v>-32.711067389717186</v>
      </c>
      <c r="K47" s="26"/>
      <c r="L47" s="26">
        <f t="shared" si="123"/>
        <v>-15.979918965039957</v>
      </c>
      <c r="M47" s="26">
        <f t="shared" si="124"/>
        <v>-19.220204904831832</v>
      </c>
      <c r="N47" s="26">
        <f t="shared" si="125"/>
        <v>6.6018022977574482</v>
      </c>
      <c r="O47" s="26">
        <f t="shared" si="126"/>
        <v>-28.598321572114287</v>
      </c>
      <c r="Q47" t="str">
        <f>$A$11</f>
        <v>Administrative and secretarial occupations</v>
      </c>
      <c r="R47" s="26">
        <f t="shared" si="127"/>
        <v>4.2460356566963924</v>
      </c>
      <c r="S47" s="26">
        <f t="shared" si="97"/>
        <v>0.91579763449425933</v>
      </c>
      <c r="T47" s="26">
        <f t="shared" si="98"/>
        <v>-1.2686781969506691</v>
      </c>
      <c r="U47" s="26">
        <f t="shared" si="99"/>
        <v>3.8931550942399866</v>
      </c>
      <c r="V47" s="26"/>
      <c r="W47" s="26">
        <f t="shared" si="128"/>
        <v>3.489407302157872</v>
      </c>
      <c r="X47" s="26">
        <f t="shared" si="100"/>
        <v>-1.8230735118806827</v>
      </c>
      <c r="Y47" s="26">
        <f t="shared" si="101"/>
        <v>1.311442335952917</v>
      </c>
      <c r="Z47" s="26">
        <f t="shared" si="102"/>
        <v>2.977776126230097</v>
      </c>
      <c r="AA47" s="26"/>
      <c r="AB47" s="26">
        <f t="shared" si="129"/>
        <v>7.7354429588542644</v>
      </c>
      <c r="AC47" s="26">
        <f t="shared" si="103"/>
        <v>-0.90727587738642335</v>
      </c>
      <c r="AD47" s="26">
        <f t="shared" si="104"/>
        <v>4.2764139002247958E-2</v>
      </c>
      <c r="AE47" s="26">
        <f t="shared" si="105"/>
        <v>6.8709312204700836</v>
      </c>
      <c r="AG47" t="str">
        <f>$A$11</f>
        <v>Administrative and secretarial occupations</v>
      </c>
      <c r="AH47" s="26">
        <f t="shared" si="130"/>
        <v>0.67819902001643584</v>
      </c>
      <c r="AI47" s="26">
        <f t="shared" si="106"/>
        <v>-3.9417914123651627</v>
      </c>
      <c r="AJ47" s="26">
        <f t="shared" si="107"/>
        <v>3.4831831157117641</v>
      </c>
      <c r="AK47" s="26">
        <f t="shared" si="108"/>
        <v>0.21959072336301233</v>
      </c>
      <c r="AL47" s="26"/>
      <c r="AM47" s="26">
        <f t="shared" si="131"/>
        <v>-24.393560943910543</v>
      </c>
      <c r="AN47" s="26">
        <f t="shared" si="109"/>
        <v>-14.371137615080272</v>
      </c>
      <c r="AO47" s="26">
        <f t="shared" si="110"/>
        <v>3.0758550430434646</v>
      </c>
      <c r="AP47" s="26">
        <f t="shared" si="111"/>
        <v>-35.688843515947354</v>
      </c>
      <c r="AQ47" s="26"/>
      <c r="AR47" s="26">
        <f t="shared" si="132"/>
        <v>-23.715361923894108</v>
      </c>
      <c r="AS47" s="26">
        <f t="shared" si="112"/>
        <v>-18.312929027445435</v>
      </c>
      <c r="AT47" s="26">
        <f t="shared" si="113"/>
        <v>6.5590381587552287</v>
      </c>
      <c r="AU47" s="26">
        <f t="shared" si="114"/>
        <v>-35.469252792584342</v>
      </c>
    </row>
    <row r="48" spans="1:47" x14ac:dyDescent="0.2">
      <c r="A48" t="str">
        <f>$A$12</f>
        <v>Skilled trades occupations</v>
      </c>
      <c r="B48" s="26">
        <f t="shared" si="115"/>
        <v>-25.318826656131222</v>
      </c>
      <c r="C48" s="26">
        <f t="shared" si="116"/>
        <v>-2.0517281715852889</v>
      </c>
      <c r="D48" s="26">
        <f t="shared" si="117"/>
        <v>-6.5598897709314912</v>
      </c>
      <c r="E48" s="26">
        <f t="shared" si="118"/>
        <v>-33.930444598648023</v>
      </c>
      <c r="F48" s="26"/>
      <c r="G48" s="26">
        <f t="shared" si="119"/>
        <v>-12.606408698225977</v>
      </c>
      <c r="H48" s="26">
        <f t="shared" si="120"/>
        <v>5.5810232697547129</v>
      </c>
      <c r="I48" s="26">
        <f t="shared" si="121"/>
        <v>15.503045612503072</v>
      </c>
      <c r="J48" s="26">
        <f t="shared" si="122"/>
        <v>8.4776601840318335</v>
      </c>
      <c r="K48" s="26"/>
      <c r="L48" s="26">
        <f t="shared" si="123"/>
        <v>-37.925235354357199</v>
      </c>
      <c r="M48" s="26">
        <f t="shared" si="124"/>
        <v>3.529295098169424</v>
      </c>
      <c r="N48" s="26">
        <f t="shared" si="125"/>
        <v>8.9431558415715813</v>
      </c>
      <c r="O48" s="26">
        <f t="shared" si="126"/>
        <v>-25.45278441461619</v>
      </c>
      <c r="Q48" t="str">
        <f>$A$12</f>
        <v>Skilled trades occupations</v>
      </c>
      <c r="R48" s="26">
        <f t="shared" si="127"/>
        <v>-25.559441018789272</v>
      </c>
      <c r="S48" s="26">
        <f t="shared" si="97"/>
        <v>-1.8992200323503887</v>
      </c>
      <c r="T48" s="26">
        <f t="shared" si="98"/>
        <v>-11.007571687401111</v>
      </c>
      <c r="U48" s="26">
        <f t="shared" si="99"/>
        <v>-38.466232738540782</v>
      </c>
      <c r="V48" s="26"/>
      <c r="W48" s="26">
        <f t="shared" si="128"/>
        <v>-18.038710654858434</v>
      </c>
      <c r="X48" s="26">
        <f t="shared" si="100"/>
        <v>3.5399540646056877</v>
      </c>
      <c r="Y48" s="26">
        <f t="shared" si="101"/>
        <v>13.25646782044312</v>
      </c>
      <c r="Z48" s="26">
        <f t="shared" si="102"/>
        <v>-1.2422887698096474</v>
      </c>
      <c r="AA48" s="26"/>
      <c r="AB48" s="26">
        <f t="shared" si="129"/>
        <v>-43.598151673647706</v>
      </c>
      <c r="AC48" s="26">
        <f t="shared" si="103"/>
        <v>1.640734032255299</v>
      </c>
      <c r="AD48" s="26">
        <f t="shared" si="104"/>
        <v>2.2488961330420096</v>
      </c>
      <c r="AE48" s="26">
        <f t="shared" si="105"/>
        <v>-39.708521508350429</v>
      </c>
      <c r="AG48" t="str">
        <f>$A$12</f>
        <v>Skilled trades occupations</v>
      </c>
      <c r="AH48" s="26">
        <f t="shared" si="130"/>
        <v>0.24061436265795422</v>
      </c>
      <c r="AI48" s="26">
        <f t="shared" si="106"/>
        <v>-0.1525081392349108</v>
      </c>
      <c r="AJ48" s="26">
        <f t="shared" si="107"/>
        <v>4.447681916469584</v>
      </c>
      <c r="AK48" s="26">
        <f t="shared" si="108"/>
        <v>4.5357881398926239</v>
      </c>
      <c r="AL48" s="26"/>
      <c r="AM48" s="26">
        <f t="shared" si="131"/>
        <v>5.4323019566324984</v>
      </c>
      <c r="AN48" s="26">
        <f t="shared" si="109"/>
        <v>2.041069205149002</v>
      </c>
      <c r="AO48" s="26">
        <f t="shared" si="110"/>
        <v>2.2465777920599308</v>
      </c>
      <c r="AP48" s="26">
        <f t="shared" si="111"/>
        <v>9.7199489538414312</v>
      </c>
      <c r="AQ48" s="26"/>
      <c r="AR48" s="26">
        <f t="shared" si="132"/>
        <v>5.6729163192904526</v>
      </c>
      <c r="AS48" s="26">
        <f t="shared" si="112"/>
        <v>1.8885610659140912</v>
      </c>
      <c r="AT48" s="26">
        <f t="shared" si="113"/>
        <v>6.6942597085295148</v>
      </c>
      <c r="AU48" s="26">
        <f t="shared" si="114"/>
        <v>14.255737093734055</v>
      </c>
    </row>
    <row r="49" spans="1:47" x14ac:dyDescent="0.2">
      <c r="A49" t="str">
        <f>$A$13</f>
        <v>Caring, leisure and other service occupations</v>
      </c>
      <c r="B49" s="26">
        <f t="shared" si="115"/>
        <v>-4.544978929703575</v>
      </c>
      <c r="C49" s="26">
        <f t="shared" si="116"/>
        <v>-10.91399289358634</v>
      </c>
      <c r="D49" s="26">
        <f t="shared" si="117"/>
        <v>2.4735963173589965</v>
      </c>
      <c r="E49" s="26">
        <f t="shared" si="118"/>
        <v>-12.985375505930904</v>
      </c>
      <c r="F49" s="26"/>
      <c r="G49" s="26">
        <f t="shared" si="119"/>
        <v>29.231835222672927</v>
      </c>
      <c r="H49" s="26">
        <f t="shared" si="120"/>
        <v>18.329377559697463</v>
      </c>
      <c r="I49" s="26">
        <f t="shared" si="121"/>
        <v>11.421109670856893</v>
      </c>
      <c r="J49" s="26">
        <f t="shared" si="122"/>
        <v>58.982322453227312</v>
      </c>
      <c r="K49" s="26"/>
      <c r="L49" s="26">
        <f t="shared" si="123"/>
        <v>24.686856292969352</v>
      </c>
      <c r="M49" s="26">
        <f t="shared" si="124"/>
        <v>7.4153846661111231</v>
      </c>
      <c r="N49" s="26">
        <f t="shared" si="125"/>
        <v>13.89470598821589</v>
      </c>
      <c r="O49" s="26">
        <f t="shared" si="126"/>
        <v>45.996946947296408</v>
      </c>
      <c r="Q49" t="str">
        <f>$A$13</f>
        <v>Caring, leisure and other service occupations</v>
      </c>
      <c r="R49" s="26">
        <f t="shared" si="127"/>
        <v>-0.15763179370557623</v>
      </c>
      <c r="S49" s="26">
        <f t="shared" si="97"/>
        <v>1.1610596053986235</v>
      </c>
      <c r="T49" s="26">
        <f t="shared" si="98"/>
        <v>0.32348664606022126</v>
      </c>
      <c r="U49" s="26">
        <f t="shared" si="99"/>
        <v>1.3269144577532686</v>
      </c>
      <c r="V49" s="26"/>
      <c r="W49" s="26">
        <f t="shared" si="128"/>
        <v>7.3259963885093526</v>
      </c>
      <c r="X49" s="26">
        <f t="shared" si="100"/>
        <v>4.0074928474661125</v>
      </c>
      <c r="Y49" s="26">
        <f t="shared" si="101"/>
        <v>3.6758563875370216</v>
      </c>
      <c r="Z49" s="26">
        <f t="shared" si="102"/>
        <v>15.009345623512488</v>
      </c>
      <c r="AA49" s="26"/>
      <c r="AB49" s="26">
        <f t="shared" si="129"/>
        <v>7.1683645948037764</v>
      </c>
      <c r="AC49" s="26">
        <f t="shared" si="103"/>
        <v>5.168552452864736</v>
      </c>
      <c r="AD49" s="26">
        <f t="shared" si="104"/>
        <v>3.9993430335972429</v>
      </c>
      <c r="AE49" s="26">
        <f t="shared" si="105"/>
        <v>16.336260081265756</v>
      </c>
      <c r="AG49" t="str">
        <f>$A$13</f>
        <v>Caring, leisure and other service occupations</v>
      </c>
      <c r="AH49" s="26">
        <f t="shared" si="130"/>
        <v>-4.3873471359979987</v>
      </c>
      <c r="AI49" s="26">
        <f t="shared" si="106"/>
        <v>-12.075052498984917</v>
      </c>
      <c r="AJ49" s="26">
        <f t="shared" si="107"/>
        <v>2.1501096712987575</v>
      </c>
      <c r="AK49" s="26">
        <f t="shared" si="108"/>
        <v>-14.312289963684179</v>
      </c>
      <c r="AL49" s="26"/>
      <c r="AM49" s="26">
        <f t="shared" si="131"/>
        <v>21.905838834163546</v>
      </c>
      <c r="AN49" s="26">
        <f t="shared" si="109"/>
        <v>14.321884712231281</v>
      </c>
      <c r="AO49" s="26">
        <f t="shared" si="110"/>
        <v>7.7452532833198795</v>
      </c>
      <c r="AP49" s="26">
        <f t="shared" si="111"/>
        <v>43.972976829714696</v>
      </c>
      <c r="AQ49" s="26"/>
      <c r="AR49" s="26">
        <f t="shared" si="132"/>
        <v>17.518491698165548</v>
      </c>
      <c r="AS49" s="26">
        <f t="shared" si="112"/>
        <v>2.2468322132463641</v>
      </c>
      <c r="AT49" s="26">
        <f t="shared" si="113"/>
        <v>9.895362954618637</v>
      </c>
      <c r="AU49" s="26">
        <f t="shared" si="114"/>
        <v>29.660686866030517</v>
      </c>
    </row>
    <row r="50" spans="1:47" x14ac:dyDescent="0.2">
      <c r="A50" t="str">
        <f>$A$14</f>
        <v>Sales and customer service occupations</v>
      </c>
      <c r="B50" s="26">
        <f t="shared" si="115"/>
        <v>1.2498619439116396</v>
      </c>
      <c r="C50" s="26">
        <f t="shared" si="116"/>
        <v>-1.2181658238953332</v>
      </c>
      <c r="D50" s="26">
        <f t="shared" si="117"/>
        <v>-3.4424604325976951</v>
      </c>
      <c r="E50" s="26">
        <f t="shared" si="118"/>
        <v>-3.4107643125813922</v>
      </c>
      <c r="F50" s="26"/>
      <c r="G50" s="26">
        <f t="shared" si="119"/>
        <v>-0.69707929771131205</v>
      </c>
      <c r="H50" s="26">
        <f t="shared" si="120"/>
        <v>3.8704361268755747</v>
      </c>
      <c r="I50" s="26">
        <f t="shared" si="121"/>
        <v>-2.1553609706479939</v>
      </c>
      <c r="J50" s="26">
        <f t="shared" si="122"/>
        <v>1.0179958585162581</v>
      </c>
      <c r="K50" s="26"/>
      <c r="L50" s="26">
        <f t="shared" si="123"/>
        <v>0.55278264620032758</v>
      </c>
      <c r="M50" s="26">
        <f t="shared" si="124"/>
        <v>2.6522703029802415</v>
      </c>
      <c r="N50" s="26">
        <f t="shared" si="125"/>
        <v>-5.597821403245689</v>
      </c>
      <c r="O50" s="26">
        <f t="shared" si="126"/>
        <v>-2.3927684540651342</v>
      </c>
      <c r="Q50" t="str">
        <f>$A$14</f>
        <v>Sales and customer service occupations</v>
      </c>
      <c r="R50" s="26">
        <f t="shared" si="127"/>
        <v>0.15929435674174641</v>
      </c>
      <c r="S50" s="26">
        <f t="shared" si="97"/>
        <v>2.1979018809824495</v>
      </c>
      <c r="T50" s="26">
        <f t="shared" si="98"/>
        <v>-1.873476281065459</v>
      </c>
      <c r="U50" s="26">
        <f t="shared" si="99"/>
        <v>0.48371995665873158</v>
      </c>
      <c r="V50" s="26"/>
      <c r="W50" s="26">
        <f t="shared" si="128"/>
        <v>3.6042676755471135</v>
      </c>
      <c r="X50" s="26">
        <f t="shared" si="100"/>
        <v>3.8732621377306842</v>
      </c>
      <c r="Y50" s="26">
        <f t="shared" si="101"/>
        <v>-0.96528667183546268</v>
      </c>
      <c r="Z50" s="26">
        <f t="shared" si="102"/>
        <v>6.5122431414423545</v>
      </c>
      <c r="AA50" s="26"/>
      <c r="AB50" s="26">
        <f t="shared" si="129"/>
        <v>3.7635620322888599</v>
      </c>
      <c r="AC50" s="26">
        <f t="shared" si="103"/>
        <v>6.0711640187131337</v>
      </c>
      <c r="AD50" s="26">
        <f t="shared" si="104"/>
        <v>-2.8387629529009217</v>
      </c>
      <c r="AE50" s="26">
        <f t="shared" si="105"/>
        <v>6.9959630981010861</v>
      </c>
      <c r="AG50" t="str">
        <f>$A$14</f>
        <v>Sales and customer service occupations</v>
      </c>
      <c r="AH50" s="26">
        <f t="shared" si="130"/>
        <v>1.0905675871699501</v>
      </c>
      <c r="AI50" s="26">
        <f t="shared" si="106"/>
        <v>-3.4160677048777899</v>
      </c>
      <c r="AJ50" s="26">
        <f t="shared" si="107"/>
        <v>-1.5689841515322254</v>
      </c>
      <c r="AK50" s="26">
        <f t="shared" si="108"/>
        <v>-3.8944842692400812</v>
      </c>
      <c r="AL50" s="26"/>
      <c r="AM50" s="26">
        <f t="shared" si="131"/>
        <v>-4.3013469732584468</v>
      </c>
      <c r="AN50" s="26">
        <f t="shared" si="109"/>
        <v>-2.8260108551165786E-3</v>
      </c>
      <c r="AO50" s="26">
        <f t="shared" si="110"/>
        <v>-1.1900742988125312</v>
      </c>
      <c r="AP50" s="26">
        <f t="shared" si="111"/>
        <v>-5.4942472829260964</v>
      </c>
      <c r="AQ50" s="26"/>
      <c r="AR50" s="26">
        <f t="shared" si="132"/>
        <v>-3.2107793860884968</v>
      </c>
      <c r="AS50" s="26">
        <f t="shared" si="112"/>
        <v>-3.4188937157329065</v>
      </c>
      <c r="AT50" s="26">
        <f t="shared" si="113"/>
        <v>-2.7590584503447566</v>
      </c>
      <c r="AU50" s="26">
        <f t="shared" si="114"/>
        <v>-9.3887315521661776</v>
      </c>
    </row>
    <row r="51" spans="1:47" x14ac:dyDescent="0.2">
      <c r="A51" t="str">
        <f>$A$15</f>
        <v>Process, plant and machine operatives</v>
      </c>
      <c r="B51" s="26">
        <f t="shared" si="115"/>
        <v>-17.788191559087807</v>
      </c>
      <c r="C51" s="26">
        <f t="shared" si="116"/>
        <v>1.0293874148471822</v>
      </c>
      <c r="D51" s="26">
        <f t="shared" si="117"/>
        <v>1.9950737183134883</v>
      </c>
      <c r="E51" s="26">
        <f t="shared" si="118"/>
        <v>-14.763730425927122</v>
      </c>
      <c r="F51" s="26"/>
      <c r="G51" s="26">
        <f t="shared" si="119"/>
        <v>3.80105922721242</v>
      </c>
      <c r="H51" s="26">
        <f t="shared" si="120"/>
        <v>11.151084960160187</v>
      </c>
      <c r="I51" s="26">
        <f t="shared" si="121"/>
        <v>5.8178688656926987</v>
      </c>
      <c r="J51" s="26">
        <f t="shared" si="122"/>
        <v>20.77001305306527</v>
      </c>
      <c r="K51" s="26"/>
      <c r="L51" s="26">
        <f t="shared" si="123"/>
        <v>-13.987132331875387</v>
      </c>
      <c r="M51" s="26">
        <f t="shared" si="124"/>
        <v>12.180472375007369</v>
      </c>
      <c r="N51" s="26">
        <f t="shared" si="125"/>
        <v>7.812942584006187</v>
      </c>
      <c r="O51" s="26">
        <f t="shared" si="126"/>
        <v>6.0062826271381482</v>
      </c>
      <c r="Q51" t="str">
        <f>$A$15</f>
        <v>Process, plant and machine operatives</v>
      </c>
      <c r="R51" s="26">
        <f t="shared" si="127"/>
        <v>-15.537999031609942</v>
      </c>
      <c r="S51" s="26">
        <f t="shared" si="97"/>
        <v>2.0491404122085441</v>
      </c>
      <c r="T51" s="26">
        <f t="shared" si="98"/>
        <v>-0.52643212939441142</v>
      </c>
      <c r="U51" s="26">
        <f t="shared" si="99"/>
        <v>-14.01529074879582</v>
      </c>
      <c r="V51" s="26"/>
      <c r="W51" s="26">
        <f t="shared" si="128"/>
        <v>1.5993060557255347</v>
      </c>
      <c r="X51" s="26">
        <f t="shared" si="100"/>
        <v>5.143917719109421</v>
      </c>
      <c r="Y51" s="26">
        <f t="shared" si="101"/>
        <v>3.6496971270210885</v>
      </c>
      <c r="Z51" s="26">
        <f t="shared" si="102"/>
        <v>10.392920901856058</v>
      </c>
      <c r="AA51" s="26"/>
      <c r="AB51" s="26">
        <f t="shared" si="129"/>
        <v>-13.938692975884408</v>
      </c>
      <c r="AC51" s="26">
        <f t="shared" si="103"/>
        <v>7.1930581313179651</v>
      </c>
      <c r="AD51" s="26">
        <f t="shared" si="104"/>
        <v>3.1232649976266771</v>
      </c>
      <c r="AE51" s="26">
        <f t="shared" si="105"/>
        <v>-3.6223698469397618</v>
      </c>
      <c r="AG51" t="str">
        <f>$A$15</f>
        <v>Process, plant and machine operatives</v>
      </c>
      <c r="AH51" s="26">
        <f t="shared" si="130"/>
        <v>-2.2501925274780614</v>
      </c>
      <c r="AI51" s="26">
        <f t="shared" si="106"/>
        <v>-1.0197529973613264</v>
      </c>
      <c r="AJ51" s="26">
        <f t="shared" si="107"/>
        <v>2.5215058477078851</v>
      </c>
      <c r="AK51" s="26">
        <f t="shared" si="108"/>
        <v>-0.74843967713150406</v>
      </c>
      <c r="AL51" s="26"/>
      <c r="AM51" s="26">
        <f t="shared" si="131"/>
        <v>2.2017531714868017</v>
      </c>
      <c r="AN51" s="26">
        <f t="shared" si="109"/>
        <v>6.0071672410507624</v>
      </c>
      <c r="AO51" s="26">
        <f t="shared" si="110"/>
        <v>2.1681717386716279</v>
      </c>
      <c r="AP51" s="26">
        <f t="shared" si="111"/>
        <v>10.377092151209194</v>
      </c>
      <c r="AQ51" s="26"/>
      <c r="AR51" s="26">
        <f t="shared" si="132"/>
        <v>-4.8439355991259703E-2</v>
      </c>
      <c r="AS51" s="26">
        <f t="shared" si="112"/>
        <v>4.987414243689436</v>
      </c>
      <c r="AT51" s="26">
        <f t="shared" si="113"/>
        <v>4.6896775863795135</v>
      </c>
      <c r="AU51" s="26">
        <f t="shared" si="114"/>
        <v>9.6286524740776898</v>
      </c>
    </row>
    <row r="52" spans="1:47" x14ac:dyDescent="0.2">
      <c r="A52" t="str">
        <f>$A$16</f>
        <v>Elementary occupations</v>
      </c>
      <c r="B52" s="26">
        <f t="shared" si="115"/>
        <v>-21.557837171004849</v>
      </c>
      <c r="C52" s="26">
        <f t="shared" si="116"/>
        <v>-1.9525757466128937</v>
      </c>
      <c r="D52" s="26">
        <f t="shared" si="117"/>
        <v>0.27984237726340666</v>
      </c>
      <c r="E52" s="26">
        <f t="shared" si="118"/>
        <v>-23.230570540354336</v>
      </c>
      <c r="F52" s="26"/>
      <c r="G52" s="26">
        <f t="shared" si="119"/>
        <v>1.3700965194634449</v>
      </c>
      <c r="H52" s="26">
        <f t="shared" si="120"/>
        <v>-9.9848199243824922</v>
      </c>
      <c r="I52" s="26">
        <f t="shared" si="121"/>
        <v>12.175243050891019</v>
      </c>
      <c r="J52" s="26">
        <f t="shared" si="122"/>
        <v>3.560519645971965</v>
      </c>
      <c r="K52" s="26"/>
      <c r="L52" s="26">
        <f t="shared" si="123"/>
        <v>-20.187740651541404</v>
      </c>
      <c r="M52" s="26">
        <f t="shared" si="124"/>
        <v>-11.937395670995386</v>
      </c>
      <c r="N52" s="26">
        <f t="shared" si="125"/>
        <v>12.455085428154426</v>
      </c>
      <c r="O52" s="26">
        <f t="shared" si="126"/>
        <v>-19.670050894382371</v>
      </c>
      <c r="Q52" t="str">
        <f>$A$16</f>
        <v>Elementary occupations</v>
      </c>
      <c r="R52" s="26">
        <f t="shared" si="127"/>
        <v>-16.775398407696755</v>
      </c>
      <c r="S52" s="26">
        <f t="shared" si="97"/>
        <v>-0.70487329802826082</v>
      </c>
      <c r="T52" s="26">
        <f t="shared" si="98"/>
        <v>-0.14486033307581181</v>
      </c>
      <c r="U52" s="26">
        <f t="shared" si="99"/>
        <v>-17.625132038800814</v>
      </c>
      <c r="V52" s="26"/>
      <c r="W52" s="26">
        <f t="shared" si="128"/>
        <v>-6.9876913318637577</v>
      </c>
      <c r="X52" s="26">
        <f t="shared" si="100"/>
        <v>2.2555018785513994</v>
      </c>
      <c r="Y52" s="26">
        <f t="shared" si="101"/>
        <v>5.5683129273219958</v>
      </c>
      <c r="Z52" s="26">
        <f t="shared" si="102"/>
        <v>0.83612347400963927</v>
      </c>
      <c r="AA52" s="26"/>
      <c r="AB52" s="26">
        <f t="shared" si="129"/>
        <v>-23.763089739560513</v>
      </c>
      <c r="AC52" s="26">
        <f t="shared" si="103"/>
        <v>1.5506285805231386</v>
      </c>
      <c r="AD52" s="26">
        <f t="shared" si="104"/>
        <v>5.423452594246184</v>
      </c>
      <c r="AE52" s="26">
        <f t="shared" si="105"/>
        <v>-16.789008564791175</v>
      </c>
      <c r="AG52" t="str">
        <f>$A$16</f>
        <v>Elementary occupations</v>
      </c>
      <c r="AH52" s="26">
        <f t="shared" si="130"/>
        <v>-4.78243876330788</v>
      </c>
      <c r="AI52" s="26">
        <f t="shared" si="106"/>
        <v>-1.2477024485846613</v>
      </c>
      <c r="AJ52" s="26">
        <f t="shared" si="107"/>
        <v>0.42470271033923623</v>
      </c>
      <c r="AK52" s="26">
        <f t="shared" si="108"/>
        <v>-5.6054385015532944</v>
      </c>
      <c r="AL52" s="26"/>
      <c r="AM52" s="26">
        <f t="shared" si="131"/>
        <v>8.3577878513269823</v>
      </c>
      <c r="AN52" s="26">
        <f t="shared" si="109"/>
        <v>-12.240321802933835</v>
      </c>
      <c r="AO52" s="26">
        <f t="shared" si="110"/>
        <v>6.6069301235689846</v>
      </c>
      <c r="AP52" s="26">
        <f t="shared" si="111"/>
        <v>2.7243961719621268</v>
      </c>
      <c r="AQ52" s="26"/>
      <c r="AR52" s="26">
        <f t="shared" si="132"/>
        <v>3.5753490880191023</v>
      </c>
      <c r="AS52" s="26">
        <f t="shared" si="112"/>
        <v>-13.488024251518496</v>
      </c>
      <c r="AT52" s="26">
        <f t="shared" si="113"/>
        <v>7.0316328339082208</v>
      </c>
      <c r="AU52" s="26">
        <f t="shared" si="114"/>
        <v>-2.8810423295911676</v>
      </c>
    </row>
    <row r="53" spans="1:47" x14ac:dyDescent="0.2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2">
      <c r="A54" s="23" t="str">
        <f>$A$18</f>
        <v>All occupations</v>
      </c>
      <c r="B54" s="28">
        <f t="shared" si="115"/>
        <v>78.481999996133254</v>
      </c>
      <c r="C54" s="28">
        <f t="shared" si="116"/>
        <v>33.376000005137371</v>
      </c>
      <c r="D54" s="28">
        <f t="shared" si="117"/>
        <v>-0.12300000191982008</v>
      </c>
      <c r="E54" s="28">
        <f t="shared" si="118"/>
        <v>111.73499999935029</v>
      </c>
      <c r="F54" s="28"/>
      <c r="G54" s="28">
        <f t="shared" si="119"/>
        <v>153.35700000292354</v>
      </c>
      <c r="H54" s="28">
        <f t="shared" si="120"/>
        <v>84.454999995804542</v>
      </c>
      <c r="I54" s="28">
        <f t="shared" si="121"/>
        <v>72.694000002100438</v>
      </c>
      <c r="J54" s="28">
        <f t="shared" si="122"/>
        <v>310.50600000082886</v>
      </c>
      <c r="K54" s="28"/>
      <c r="L54" s="28">
        <f t="shared" si="123"/>
        <v>231.8389999990568</v>
      </c>
      <c r="M54" s="28">
        <f t="shared" si="124"/>
        <v>117.83100000094191</v>
      </c>
      <c r="N54" s="28">
        <f t="shared" si="125"/>
        <v>72.571000000180618</v>
      </c>
      <c r="O54" s="28">
        <f t="shared" si="126"/>
        <v>422.24100000017916</v>
      </c>
      <c r="Q54" s="23" t="str">
        <f>$A$18</f>
        <v>All occupations</v>
      </c>
      <c r="R54" s="28">
        <f t="shared" ref="R54" si="133">W18-R18</f>
        <v>22.470999998529237</v>
      </c>
      <c r="S54" s="28">
        <f t="shared" ref="S54" si="134">X18-S18</f>
        <v>24.297000000534382</v>
      </c>
      <c r="T54" s="28">
        <f t="shared" ref="T54" si="135">Y18-T18</f>
        <v>-34.35700000001907</v>
      </c>
      <c r="U54" s="28">
        <f t="shared" ref="U54" si="136">Z18-U18</f>
        <v>12.410999999044634</v>
      </c>
      <c r="V54" s="28"/>
      <c r="W54" s="28">
        <f t="shared" ref="W54" si="137">AB18-W18</f>
        <v>58.471999999685522</v>
      </c>
      <c r="X54" s="28">
        <f t="shared" ref="X54" si="138">AC18-X18</f>
        <v>36.370999999595398</v>
      </c>
      <c r="Y54" s="28">
        <f t="shared" ref="Y54" si="139">AD18-Y18</f>
        <v>37.615999998823838</v>
      </c>
      <c r="Z54" s="28">
        <f t="shared" ref="Z54" si="140">AE18-Z18</f>
        <v>132.4589999981049</v>
      </c>
      <c r="AA54" s="28"/>
      <c r="AB54" s="28">
        <f t="shared" ref="AB54" si="141">AB18-R18</f>
        <v>80.942999998214759</v>
      </c>
      <c r="AC54" s="28">
        <f t="shared" ref="AC54" si="142">AC18-S18</f>
        <v>60.66800000012978</v>
      </c>
      <c r="AD54" s="28">
        <f t="shared" ref="AD54" si="143">AD18-T18</f>
        <v>3.258999998804768</v>
      </c>
      <c r="AE54" s="28">
        <f t="shared" ref="AE54" si="144">AE18-U18</f>
        <v>144.86999999714953</v>
      </c>
      <c r="AG54" s="23" t="str">
        <f>$A$18</f>
        <v>All occupations</v>
      </c>
      <c r="AH54" s="28">
        <f t="shared" ref="AH54" si="145">AM18-AH18</f>
        <v>56.010999997604017</v>
      </c>
      <c r="AI54" s="28">
        <f t="shared" ref="AI54" si="146">AN18-AI18</f>
        <v>9.0790000046031309</v>
      </c>
      <c r="AJ54" s="28">
        <f t="shared" ref="AJ54" si="147">AO18-AJ18</f>
        <v>34.233999998099506</v>
      </c>
      <c r="AK54" s="28">
        <f t="shared" ref="AK54" si="148">AP18-AK18</f>
        <v>99.324000000306341</v>
      </c>
      <c r="AL54" s="28"/>
      <c r="AM54" s="28">
        <f t="shared" ref="AM54" si="149">AR18-AM18</f>
        <v>94.885000003237565</v>
      </c>
      <c r="AN54" s="28">
        <f t="shared" ref="AN54" si="150">AS18-AN18</f>
        <v>48.083999996209059</v>
      </c>
      <c r="AO54" s="28">
        <f t="shared" ref="AO54" si="151">AT18-AO18</f>
        <v>35.078000003276372</v>
      </c>
      <c r="AP54" s="28">
        <f t="shared" ref="AP54" si="152">AU18-AP18</f>
        <v>178.04700000272305</v>
      </c>
      <c r="AQ54" s="28"/>
      <c r="AR54" s="28">
        <f t="shared" ref="AR54" si="153">AR18-AH18</f>
        <v>150.89600000084158</v>
      </c>
      <c r="AS54" s="28">
        <f t="shared" ref="AS54" si="154">AS18-AI18</f>
        <v>57.16300000081219</v>
      </c>
      <c r="AT54" s="28">
        <f t="shared" ref="AT54" si="155">AT18-AJ18</f>
        <v>69.312000001375878</v>
      </c>
      <c r="AU54" s="28">
        <f t="shared" ref="AU54" si="156">AU18-AK18</f>
        <v>277.37100000302939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40625" defaultRowHeight="12.75" x14ac:dyDescent="0.2"/>
  <cols>
    <col min="1" max="1" width="11" style="156" bestFit="1" customWidth="1"/>
    <col min="2" max="9" width="9.140625" style="156"/>
    <col min="10" max="10" width="17.5703125" style="156" customWidth="1"/>
    <col min="11" max="11" width="8.28515625" style="156" customWidth="1"/>
    <col min="12" max="12" width="52.7109375" style="90" customWidth="1"/>
    <col min="13" max="13" width="12.42578125" style="90" customWidth="1"/>
    <col min="14" max="14" width="10.140625" style="90" customWidth="1"/>
    <col min="15" max="16384" width="9.140625" style="90"/>
  </cols>
  <sheetData>
    <row r="1" spans="1:14" ht="15.75" x14ac:dyDescent="0.25">
      <c r="A1" s="155" t="str">
        <f>CONCATENATE("Occupation Figure 1  Growth in Employment by Occupation (SOC 2020), ",M6," and ",N6,", ",Info!B5)</f>
        <v>Occupation Figure 1  Growth in Employment by Occupation (SOC 2020), 2015-2020 and 2020-2035, South West</v>
      </c>
    </row>
    <row r="2" spans="1:14" x14ac:dyDescent="0.2">
      <c r="A2" s="181" t="s">
        <v>538</v>
      </c>
    </row>
    <row r="3" spans="1:14" x14ac:dyDescent="0.2">
      <c r="L3" s="157" t="s">
        <v>439</v>
      </c>
    </row>
    <row r="5" spans="1:14" x14ac:dyDescent="0.2">
      <c r="L5" s="121" t="s">
        <v>422</v>
      </c>
    </row>
    <row r="6" spans="1:14" x14ac:dyDescent="0.2">
      <c r="M6" s="177" t="str">
        <f>'Occ T2'!H151</f>
        <v>2015-2020</v>
      </c>
      <c r="N6" s="177" t="str">
        <f>'Occ T2'!I151</f>
        <v>2020-2035</v>
      </c>
    </row>
    <row r="7" spans="1:14" x14ac:dyDescent="0.2">
      <c r="L7" s="113" t="str">
        <f>'Occ T3'!A51</f>
        <v>All occupations</v>
      </c>
      <c r="M7" s="90">
        <f>'Occ T2'!H180</f>
        <v>0.78076348315760935</v>
      </c>
      <c r="N7" s="90">
        <f>'Occ T2'!I180</f>
        <v>0.6738641534223655</v>
      </c>
    </row>
    <row r="8" spans="1:14" x14ac:dyDescent="0.2">
      <c r="L8" s="113"/>
    </row>
    <row r="9" spans="1:14" x14ac:dyDescent="0.2">
      <c r="L9" s="90" t="str">
        <f>'Occ T3'!A49</f>
        <v>92 Elementary administration and service occupations</v>
      </c>
      <c r="M9" s="90">
        <f>'Occ T2'!H178</f>
        <v>-0.97286904473028457</v>
      </c>
      <c r="N9" s="90">
        <f>'Occ T2'!I178</f>
        <v>0.2179212062018987</v>
      </c>
    </row>
    <row r="10" spans="1:14" x14ac:dyDescent="0.2">
      <c r="L10" s="90" t="str">
        <f>'Occ T3'!A48</f>
        <v>91 Elementary trades and related occupations</v>
      </c>
      <c r="M10" s="90">
        <f>'Occ T2'!H177</f>
        <v>-4.4230977639318603</v>
      </c>
      <c r="N10" s="90">
        <f>'Occ T2'!I177</f>
        <v>-0.84261754039369752</v>
      </c>
    </row>
    <row r="11" spans="1:14" x14ac:dyDescent="0.2">
      <c r="L11" s="113" t="str">
        <f>"["&amp;'Occ T3'!A47&amp;"]"</f>
        <v>[Elementary occupations]</v>
      </c>
      <c r="M11" s="90">
        <f>'Occ T1'!H88</f>
        <v>-1.498286687196615</v>
      </c>
      <c r="N11" s="90">
        <f>'Occ T1'!I88</f>
        <v>7.9665685931273877E-2</v>
      </c>
    </row>
    <row r="12" spans="1:14" x14ac:dyDescent="0.2">
      <c r="L12" s="113"/>
    </row>
    <row r="13" spans="1:14" x14ac:dyDescent="0.2">
      <c r="L13" s="90" t="str">
        <f>'Occ T3'!A45</f>
        <v>82 Transport and mobile machine drivers and operatives</v>
      </c>
      <c r="M13" s="90">
        <f>'Occ T2'!H176</f>
        <v>-0.82299327557668889</v>
      </c>
      <c r="N13" s="90">
        <f>'Occ T2'!I176</f>
        <v>0.62042960431503147</v>
      </c>
    </row>
    <row r="14" spans="1:14" x14ac:dyDescent="0.2">
      <c r="L14" s="90" t="str">
        <f>'Occ T3'!A44</f>
        <v>81 Process, plant and machine operatives</v>
      </c>
      <c r="M14" s="90">
        <f>'Occ T2'!H175</f>
        <v>-3.2648100731085594</v>
      </c>
      <c r="N14" s="90">
        <f>'Occ T2'!I175</f>
        <v>1.2468340069772266</v>
      </c>
    </row>
    <row r="15" spans="1:14" x14ac:dyDescent="0.2">
      <c r="L15" s="113" t="str">
        <f>"["&amp;'Occ T3'!A43&amp;"]"</f>
        <v>[Process, plant and machine operatives]</v>
      </c>
      <c r="M15" s="90">
        <f>'Occ T1'!H87</f>
        <v>-1.9238725536881773</v>
      </c>
      <c r="N15" s="90">
        <f>'Occ T1'!I87</f>
        <v>0.89798349522764997</v>
      </c>
    </row>
    <row r="16" spans="1:14" x14ac:dyDescent="0.2">
      <c r="L16" s="113"/>
    </row>
    <row r="17" spans="12:14" x14ac:dyDescent="0.2">
      <c r="L17" s="90" t="str">
        <f>'Occ T3'!A41</f>
        <v>72 Customer service occupations</v>
      </c>
      <c r="M17" s="90">
        <f>'Occ T2'!H174</f>
        <v>2.8291007509229749</v>
      </c>
      <c r="N17" s="90">
        <f>'Occ T2'!I174</f>
        <v>2.680081115174815</v>
      </c>
    </row>
    <row r="18" spans="12:14" x14ac:dyDescent="0.2">
      <c r="L18" s="90" t="str">
        <f>'Occ T3'!A40</f>
        <v>71 Sales occupations</v>
      </c>
      <c r="M18" s="90">
        <f>'Occ T2'!H173</f>
        <v>-0.91016682706331897</v>
      </c>
      <c r="N18" s="90">
        <f>'Occ T2'!I173</f>
        <v>-0.75895911730006205</v>
      </c>
    </row>
    <row r="19" spans="12:14" x14ac:dyDescent="0.2">
      <c r="L19" s="113" t="str">
        <f>"["&amp;'Occ T3'!A39&amp;"]"</f>
        <v>[Sales and customer service occupations]</v>
      </c>
      <c r="M19" s="90">
        <f>'Occ T1'!H86</f>
        <v>-0.26701630735606052</v>
      </c>
      <c r="N19" s="90">
        <f>'Occ T1'!I86</f>
        <v>2.672912475363276E-2</v>
      </c>
    </row>
    <row r="20" spans="12:14" x14ac:dyDescent="0.2">
      <c r="L20" s="113"/>
    </row>
    <row r="21" spans="12:14" x14ac:dyDescent="0.2">
      <c r="L21" s="106" t="str">
        <f>'Occ T3'!A37</f>
        <v>63 Community and civil enforcement occupations</v>
      </c>
      <c r="M21" s="90">
        <f>'Occ T2'!H172</f>
        <v>2.3457560987282466</v>
      </c>
      <c r="N21" s="90">
        <f>'Occ T2'!I172</f>
        <v>-1.4017685717510719</v>
      </c>
    </row>
    <row r="22" spans="12:14" x14ac:dyDescent="0.2">
      <c r="L22" s="90" t="str">
        <f>'Occ T3'!A36</f>
        <v>62 Leisure, travel and related personal service occupations</v>
      </c>
      <c r="M22" s="90">
        <f>'Occ T2'!H171</f>
        <v>-0.21912163591644163</v>
      </c>
      <c r="N22" s="90">
        <f>'Occ T2'!I171</f>
        <v>1.1959782877981162</v>
      </c>
    </row>
    <row r="23" spans="12:14" x14ac:dyDescent="0.2">
      <c r="L23" s="90" t="str">
        <f>'Occ T3'!A35</f>
        <v>61 Caring personal service occupations</v>
      </c>
      <c r="M23" s="90">
        <f>'Occ T2'!H170</f>
        <v>-1.1389597399025009</v>
      </c>
      <c r="N23" s="90">
        <f>'Occ T2'!I170</f>
        <v>1.3499119672925275</v>
      </c>
    </row>
    <row r="24" spans="12:14" x14ac:dyDescent="0.2">
      <c r="L24" s="113" t="str">
        <f>"["&amp;'Occ T3'!A34&amp;"]"</f>
        <v>[Caring, leisure and other service occupations]</v>
      </c>
      <c r="M24" s="90">
        <f>'Occ T1'!H85</f>
        <v>-0.91180156061418938</v>
      </c>
      <c r="N24" s="90">
        <f>'Occ T1'!I85</f>
        <v>1.2948918838459944</v>
      </c>
    </row>
    <row r="25" spans="12:14" x14ac:dyDescent="0.2">
      <c r="L25" s="113"/>
    </row>
    <row r="26" spans="12:14" x14ac:dyDescent="0.2">
      <c r="L26" s="90" t="str">
        <f>'Occ T3'!A32</f>
        <v>54 Textiles, printing and other skilled trades</v>
      </c>
      <c r="M26" s="90">
        <f>'Occ T2'!H169</f>
        <v>-1.3618339055217255</v>
      </c>
      <c r="N26" s="90">
        <f>'Occ T2'!I169</f>
        <v>-0.1429459386828924</v>
      </c>
    </row>
    <row r="27" spans="12:14" x14ac:dyDescent="0.2">
      <c r="L27" s="90" t="str">
        <f>'Occ T3'!A31</f>
        <v>53 Skilled construction and building trades</v>
      </c>
      <c r="M27" s="90">
        <f>'Occ T2'!H168</f>
        <v>-3.4350783869264157</v>
      </c>
      <c r="N27" s="90">
        <f>'Occ T2'!I168</f>
        <v>0.6500723046203527</v>
      </c>
    </row>
    <row r="28" spans="12:14" x14ac:dyDescent="0.2">
      <c r="L28" s="90" t="str">
        <f>'Occ T3'!A30</f>
        <v>52 Skilled metal, electrical and electronic trades</v>
      </c>
      <c r="M28" s="90">
        <f>'Occ T2'!H167</f>
        <v>-2.5287960486382155</v>
      </c>
      <c r="N28" s="90">
        <f>'Occ T2'!I167</f>
        <v>-0.2608080413666114</v>
      </c>
    </row>
    <row r="29" spans="12:14" x14ac:dyDescent="0.2">
      <c r="L29" s="90" t="str">
        <f>'Occ T3'!A29</f>
        <v>51 Skilled agricultural and related trades</v>
      </c>
      <c r="M29" s="90">
        <f>'Occ T2'!H166</f>
        <v>1.1027009666256804</v>
      </c>
      <c r="N29" s="90">
        <f>'Occ T2'!I166</f>
        <v>0.60784244009939314</v>
      </c>
    </row>
    <row r="30" spans="12:14" x14ac:dyDescent="0.2">
      <c r="L30" s="113" t="str">
        <f>"["&amp;'Occ T3'!A28&amp;"]"</f>
        <v>[Skilled trades occupations]</v>
      </c>
      <c r="M30" s="90">
        <f>'Occ T1'!H84</f>
        <v>-2.1334614228158855</v>
      </c>
      <c r="N30" s="90">
        <f>'Occ T1'!I84</f>
        <v>0.18717599297484178</v>
      </c>
    </row>
    <row r="31" spans="12:14" x14ac:dyDescent="0.2">
      <c r="L31" s="113"/>
    </row>
    <row r="32" spans="12:14" x14ac:dyDescent="0.2">
      <c r="L32" s="90" t="str">
        <f>'Occ T3'!A26</f>
        <v>42 Secretarial and related occupations</v>
      </c>
      <c r="M32" s="90">
        <f>'Occ T2'!H165</f>
        <v>-1.9303891027978137</v>
      </c>
      <c r="N32" s="90">
        <f>'Occ T2'!I165</f>
        <v>-0.31546849495365237</v>
      </c>
    </row>
    <row r="33" spans="12:14" x14ac:dyDescent="0.2">
      <c r="L33" s="90" t="str">
        <f>'Occ T3'!A25</f>
        <v>41 Administrative occupations</v>
      </c>
      <c r="M33" s="90">
        <f>'Occ T2'!H164</f>
        <v>0.82269858431445186</v>
      </c>
      <c r="N33" s="90">
        <f>'Occ T2'!I164</f>
        <v>-0.89167434760123454</v>
      </c>
    </row>
    <row r="34" spans="12:14" x14ac:dyDescent="0.2">
      <c r="L34" s="113" t="str">
        <f>"["&amp;'Occ T3'!A24&amp;"]"</f>
        <v>[Administrative and secretarial occupations]</v>
      </c>
      <c r="M34" s="90">
        <f>'Occ T1'!H83</f>
        <v>0.2818217168554682</v>
      </c>
      <c r="N34" s="90">
        <f>'Occ T1'!I83</f>
        <v>-0.78231034793608822</v>
      </c>
    </row>
    <row r="35" spans="12:14" x14ac:dyDescent="0.2">
      <c r="L35" s="113"/>
    </row>
    <row r="36" spans="12:14" x14ac:dyDescent="0.2">
      <c r="L36" s="90" t="str">
        <f>'Occ T3'!A22</f>
        <v>35 Business and public service associate professionals</v>
      </c>
      <c r="M36" s="90">
        <f>'Occ T2'!H163</f>
        <v>2.3461637481438036</v>
      </c>
      <c r="N36" s="90">
        <f>'Occ T2'!I163</f>
        <v>0.16775772545101209</v>
      </c>
    </row>
    <row r="37" spans="12:14" x14ac:dyDescent="0.2">
      <c r="L37" s="90" t="str">
        <f>'Occ T3'!A21</f>
        <v>34 Culture, media and sports occupations</v>
      </c>
      <c r="M37" s="90">
        <f>'Occ T2'!H162</f>
        <v>1.532615449320196</v>
      </c>
      <c r="N37" s="90">
        <f>'Occ T2'!I162</f>
        <v>1.3338182216056982</v>
      </c>
    </row>
    <row r="38" spans="12:14" x14ac:dyDescent="0.2">
      <c r="L38" s="90" t="str">
        <f>'Occ T3'!A20</f>
        <v>33 Protective service occupations</v>
      </c>
      <c r="M38" s="90">
        <f>'Occ T2'!H161</f>
        <v>2.3007175925312096</v>
      </c>
      <c r="N38" s="90">
        <f>'Occ T2'!I161</f>
        <v>2.3337278843928777</v>
      </c>
    </row>
    <row r="39" spans="12:14" x14ac:dyDescent="0.2">
      <c r="L39" s="90" t="str">
        <f>'Occ T3'!A19</f>
        <v>32 Health and social care associate professionals</v>
      </c>
      <c r="M39" s="90">
        <f>'Occ T2'!H160</f>
        <v>1.4862719943511848</v>
      </c>
      <c r="N39" s="90">
        <f>'Occ T2'!I160</f>
        <v>1.1930934477469402</v>
      </c>
    </row>
    <row r="40" spans="12:14" x14ac:dyDescent="0.2">
      <c r="L40" s="90" t="str">
        <f>'Occ T3'!A18</f>
        <v>31 Science, engineering and technology associate professionals</v>
      </c>
      <c r="M40" s="90">
        <f>'Occ T2'!H159</f>
        <v>5.3996649164600896</v>
      </c>
      <c r="N40" s="90">
        <f>'Occ T2'!I159</f>
        <v>-0.30123647041889745</v>
      </c>
    </row>
    <row r="41" spans="12:14" x14ac:dyDescent="0.2">
      <c r="L41" s="113" t="str">
        <f>"["&amp;'Occ T3'!A17&amp;"]"</f>
        <v>[Associate professional occupations]</v>
      </c>
      <c r="M41" s="90">
        <f>'Occ T1'!H82</f>
        <v>2.4942467880411323</v>
      </c>
      <c r="N41" s="90">
        <f>'Occ T1'!I82</f>
        <v>0.60953219122281688</v>
      </c>
    </row>
    <row r="42" spans="12:14" x14ac:dyDescent="0.2">
      <c r="L42" s="113"/>
    </row>
    <row r="43" spans="12:14" x14ac:dyDescent="0.2">
      <c r="L43" s="90" t="str">
        <f>'Occ T3'!A15</f>
        <v>24 Business, media and public service professionals</v>
      </c>
      <c r="M43" s="90">
        <f>'Occ T2'!H158</f>
        <v>4.9464518649636302</v>
      </c>
      <c r="N43" s="90">
        <f>'Occ T2'!I158</f>
        <v>1.7233610838155</v>
      </c>
    </row>
    <row r="44" spans="12:14" x14ac:dyDescent="0.2">
      <c r="L44" s="90" t="str">
        <f>'Occ T3'!A14</f>
        <v>23 Teaching and other educational professionals</v>
      </c>
      <c r="M44" s="90">
        <f>'Occ T2'!H157</f>
        <v>2.2051421614749156</v>
      </c>
      <c r="N44" s="90">
        <f>'Occ T2'!I157</f>
        <v>1.0665340956459879</v>
      </c>
    </row>
    <row r="45" spans="12:14" x14ac:dyDescent="0.2">
      <c r="L45" s="90" t="str">
        <f>'Occ T3'!A13</f>
        <v>22 Health professionals</v>
      </c>
      <c r="M45" s="90">
        <f>'Occ T2'!H156</f>
        <v>2.0158424817891651</v>
      </c>
      <c r="N45" s="90">
        <f>'Occ T2'!I156</f>
        <v>1.7289250071525819</v>
      </c>
    </row>
    <row r="46" spans="12:14" x14ac:dyDescent="0.2">
      <c r="L46" s="90" t="str">
        <f>'Occ T3'!A12</f>
        <v>21 Science, research, engineering and technology professionals</v>
      </c>
      <c r="M46" s="90">
        <f>'Occ T2'!H155</f>
        <v>3.4743357012070319</v>
      </c>
      <c r="N46" s="90">
        <f>'Occ T2'!I155</f>
        <v>1.2162728285591395</v>
      </c>
    </row>
    <row r="47" spans="12:14" x14ac:dyDescent="0.2">
      <c r="L47" s="113" t="str">
        <f>"["&amp;'Occ T3'!A11&amp;"]"</f>
        <v>[Professional occupations]</v>
      </c>
      <c r="M47" s="90">
        <f>'Occ T1'!H81</f>
        <v>3.283378397046044</v>
      </c>
      <c r="N47" s="90">
        <f>'Occ T1'!I81</f>
        <v>1.44680979585321</v>
      </c>
    </row>
    <row r="49" spans="12:14" x14ac:dyDescent="0.2">
      <c r="L49" s="106" t="str">
        <f>'Occ T3'!A9</f>
        <v>12 Other managers and proprietors</v>
      </c>
      <c r="M49" s="90">
        <f>'Occ T2'!H154</f>
        <v>2.3639958503026692</v>
      </c>
      <c r="N49" s="90">
        <f>'Occ T2'!I154</f>
        <v>2.3848942571800036</v>
      </c>
    </row>
    <row r="50" spans="12:14" x14ac:dyDescent="0.2">
      <c r="L50" s="106" t="str">
        <f>'Occ T3'!A8</f>
        <v>11 Corporate managers and directors</v>
      </c>
      <c r="M50" s="90">
        <f>'Occ T2'!H153</f>
        <v>4.3344050695211855</v>
      </c>
      <c r="N50" s="90">
        <f>'Occ T2'!I153</f>
        <v>0.24315115938382537</v>
      </c>
    </row>
    <row r="51" spans="12:14" x14ac:dyDescent="0.2">
      <c r="L51" s="113" t="str">
        <f>"["&amp;'Occ T3'!A7&amp;"]"</f>
        <v>[Managers, directors and senior officials]</v>
      </c>
      <c r="M51" s="90">
        <f>'Occ T1'!H80</f>
        <v>3.6283073437189506</v>
      </c>
      <c r="N51" s="90">
        <f>'Occ T1'!I80</f>
        <v>1.0563483155450193</v>
      </c>
    </row>
    <row r="80" spans="1:1" ht="15.75" x14ac:dyDescent="0.25">
      <c r="A80" s="155" t="str">
        <f>CONCATENATE("Occupation Figure 1.1  Change in Employment by Occupation (SOC 2020), ",M81," and ",N81,", ",Info!B5)</f>
        <v>Occupation Figure 1.1  Change in Employment by Occupation (SOC 2020), 2015-2020 and 2020-2035, South West</v>
      </c>
    </row>
    <row r="81" spans="12:14" x14ac:dyDescent="0.2">
      <c r="M81" s="106" t="str">
        <f>'Occ F1'!M6</f>
        <v>2015-2020</v>
      </c>
      <c r="N81" s="106" t="str">
        <f>'Occ F1'!N6</f>
        <v>2020-2035</v>
      </c>
    </row>
    <row r="82" spans="12:14" x14ac:dyDescent="0.2">
      <c r="L82" s="10" t="str">
        <f>name!D4</f>
        <v>11 Corporate managers and directors</v>
      </c>
      <c r="M82" s="93">
        <f>'Occ T2'!D8-'Occ T2'!B8</f>
        <v>42.136423774547808</v>
      </c>
      <c r="N82" s="93">
        <f>'Occ T2'!F119</f>
        <v>8.1777474326033825</v>
      </c>
    </row>
    <row r="83" spans="12:14" x14ac:dyDescent="0.2">
      <c r="L83" s="10" t="str">
        <f>name!D5</f>
        <v>12 Other managers and proprietors</v>
      </c>
      <c r="M83" s="93">
        <f>'Occ T2'!D9-'Occ T2'!B9</f>
        <v>12.817273937470034</v>
      </c>
      <c r="N83" s="93">
        <f>'Occ T2'!F120</f>
        <v>49.299723606446463</v>
      </c>
    </row>
    <row r="84" spans="12:14" x14ac:dyDescent="0.2">
      <c r="L84" s="10" t="str">
        <f>name!D6</f>
        <v>21 Science, research, engineering and technology professionals</v>
      </c>
      <c r="M84" s="93">
        <f>'Occ T2'!D10-'Occ T2'!B10</f>
        <v>27.438872872423616</v>
      </c>
      <c r="N84" s="93">
        <f>'Occ T2'!F121</f>
        <v>34.752245461453043</v>
      </c>
    </row>
    <row r="85" spans="12:14" x14ac:dyDescent="0.2">
      <c r="L85" s="10" t="str">
        <f>name!D7</f>
        <v>22 Health professionals</v>
      </c>
      <c r="M85" s="93">
        <f>'Occ T2'!D11-'Occ T2'!B11</f>
        <v>12.922577562777704</v>
      </c>
      <c r="N85" s="93">
        <f>'Occ T2'!F122</f>
        <v>39.895269181712678</v>
      </c>
    </row>
    <row r="86" spans="12:14" x14ac:dyDescent="0.2">
      <c r="L86" s="10" t="str">
        <f>name!D8</f>
        <v>23 Teaching and other educational professionals</v>
      </c>
      <c r="M86" s="93">
        <f>'Occ T2'!D12-'Occ T2'!B12</f>
        <v>15.205600525587187</v>
      </c>
      <c r="N86" s="93">
        <f>'Occ T2'!F123</f>
        <v>25.385302399093149</v>
      </c>
    </row>
    <row r="87" spans="12:14" x14ac:dyDescent="0.2">
      <c r="L87" s="10" t="str">
        <f>name!D9</f>
        <v>24 Business, media and public service professionals</v>
      </c>
      <c r="M87" s="93">
        <f>'Occ T2'!D13-'Occ T2'!B13</f>
        <v>41.873935957154259</v>
      </c>
      <c r="N87" s="93">
        <f>'Occ T2'!F124</f>
        <v>57.038315325479459</v>
      </c>
    </row>
    <row r="88" spans="12:14" x14ac:dyDescent="0.2">
      <c r="L88" s="10" t="str">
        <f>name!D10</f>
        <v>31 Science, engineering and technology associate professionals</v>
      </c>
      <c r="M88" s="93">
        <f>'Occ T2'!D14-'Occ T2'!B14</f>
        <v>13.231857275709523</v>
      </c>
      <c r="N88" s="93">
        <f>'Occ T2'!F125</f>
        <v>-2.532009972400509</v>
      </c>
    </row>
    <row r="89" spans="12:14" x14ac:dyDescent="0.2">
      <c r="L89" s="10" t="str">
        <f>name!D11</f>
        <v>32 Health and social care associate professionals</v>
      </c>
      <c r="M89" s="93">
        <f>'Occ T2'!D15-'Occ T2'!B15</f>
        <v>4.1878520901451779</v>
      </c>
      <c r="N89" s="93">
        <f>'Occ T2'!F126</f>
        <v>11.466800779940939</v>
      </c>
    </row>
    <row r="90" spans="12:14" x14ac:dyDescent="0.2">
      <c r="L90" s="10" t="str">
        <f>name!D12</f>
        <v>33 Protective service occupations</v>
      </c>
      <c r="M90" s="93">
        <f>'Occ T2'!D16-'Occ T2'!B16</f>
        <v>2.2787729981285629</v>
      </c>
      <c r="N90" s="93">
        <f>'Occ T2'!F127</f>
        <v>8.7640965921797722</v>
      </c>
    </row>
    <row r="91" spans="12:14" x14ac:dyDescent="0.2">
      <c r="L91" s="10" t="str">
        <f>name!D13</f>
        <v>34 Culture, media and sports occupations</v>
      </c>
      <c r="M91" s="93">
        <f>'Occ T2'!D17-'Occ T2'!B17</f>
        <v>4.5539646753840941</v>
      </c>
      <c r="N91" s="93">
        <f>'Occ T2'!F128</f>
        <v>13.673599587657044</v>
      </c>
    </row>
    <row r="92" spans="12:14" x14ac:dyDescent="0.2">
      <c r="L92" s="10" t="str">
        <f>name!D14</f>
        <v>35 Business and public service associate professionals</v>
      </c>
      <c r="M92" s="93">
        <f>'Occ T2'!D18-'Occ T2'!B18</f>
        <v>19.296007895862942</v>
      </c>
      <c r="N92" s="93">
        <f>'Occ T2'!F129</f>
        <v>4.4874658015663442</v>
      </c>
    </row>
    <row r="93" spans="12:14" x14ac:dyDescent="0.2">
      <c r="L93" s="10" t="str">
        <f>name!D15</f>
        <v>41 Administrative occupations</v>
      </c>
      <c r="M93" s="93">
        <f>'Occ T2'!D19-'Occ T2'!B19</f>
        <v>9.6452522244096031</v>
      </c>
      <c r="N93" s="93">
        <f>'Occ T2'!F130</f>
        <v>-30.209411663895651</v>
      </c>
    </row>
    <row r="94" spans="12:14" x14ac:dyDescent="0.2">
      <c r="L94" s="10" t="str">
        <f>name!D16</f>
        <v>42 Secretarial and related occupations</v>
      </c>
      <c r="M94" s="93">
        <f>'Occ T2'!D20-'Occ T2'!B20</f>
        <v>-5.5325064068062986</v>
      </c>
      <c r="N94" s="93">
        <f>'Occ T2'!F131</f>
        <v>-2.501655725821557</v>
      </c>
    </row>
    <row r="95" spans="12:14" x14ac:dyDescent="0.2">
      <c r="L95" s="10" t="str">
        <f>name!D17</f>
        <v>51 Skilled agricultural and related trades</v>
      </c>
      <c r="M95" s="93">
        <f>'Occ T2'!D21-'Occ T2'!B21</f>
        <v>2.3151493126970735</v>
      </c>
      <c r="N95" s="93">
        <f>'Occ T2'!F132</f>
        <v>4.1289655951549591</v>
      </c>
    </row>
    <row r="96" spans="12:14" x14ac:dyDescent="0.2">
      <c r="L96" s="10" t="str">
        <f>name!D18</f>
        <v>52 Skilled metal, electrical and electronic trades</v>
      </c>
      <c r="M96" s="93">
        <f>'Occ T2'!D22-'Occ T2'!B22</f>
        <v>-14.398647379901746</v>
      </c>
      <c r="N96" s="93">
        <f>'Occ T2'!F133</f>
        <v>-4.0483943006121734</v>
      </c>
    </row>
    <row r="97" spans="12:14" x14ac:dyDescent="0.2">
      <c r="L97" s="10" t="str">
        <f>name!D19</f>
        <v>53 Skilled construction and building trades</v>
      </c>
      <c r="M97" s="93">
        <f>'Occ T2'!D23-'Occ T2'!B23</f>
        <v>-17.912424164301768</v>
      </c>
      <c r="N97" s="93">
        <f>'Occ T2'!F134</f>
        <v>9.5740816969780269</v>
      </c>
    </row>
    <row r="98" spans="12:14" x14ac:dyDescent="0.2">
      <c r="L98" s="10" t="str">
        <f>name!D20</f>
        <v>54 Textiles, printing and other skilled trades</v>
      </c>
      <c r="M98" s="93">
        <f>'Occ T2'!D24-'Occ T2'!B24</f>
        <v>-3.9345223671418452</v>
      </c>
      <c r="N98" s="93">
        <f>'Occ T2'!F135</f>
        <v>-1.1769928074885811</v>
      </c>
    </row>
    <row r="99" spans="12:14" x14ac:dyDescent="0.2">
      <c r="L99" s="10" t="str">
        <f>name!D21</f>
        <v>61 Caring personal service occupations</v>
      </c>
      <c r="M99" s="93">
        <f>'Occ T2'!D25-'Occ T2'!B25</f>
        <v>-12.599864010901598</v>
      </c>
      <c r="N99" s="93">
        <f>'Occ T2'!F136</f>
        <v>47.620604476973455</v>
      </c>
    </row>
    <row r="100" spans="12:14" x14ac:dyDescent="0.2">
      <c r="L100" s="10" t="str">
        <f>name!D22</f>
        <v>62 Leisure, travel and related personal service occupations</v>
      </c>
      <c r="M100" s="93">
        <f>'Occ T2'!D26-'Occ T2'!B26</f>
        <v>-0.66984624880860366</v>
      </c>
      <c r="N100" s="93">
        <f>'Occ T2'!F137</f>
        <v>11.857410173848194</v>
      </c>
    </row>
    <row r="101" spans="12:14" x14ac:dyDescent="0.2">
      <c r="L101" s="10" t="str">
        <f>name!D23</f>
        <v>63 Community and civil enforcement occupations</v>
      </c>
      <c r="M101" s="93">
        <f>'Occ T2'!D27-'Occ T2'!B27</f>
        <v>0.28433475377869222</v>
      </c>
      <c r="N101" s="93">
        <f>'Occ T2'!F138</f>
        <v>-0.49569219759447813</v>
      </c>
    </row>
    <row r="102" spans="12:14" x14ac:dyDescent="0.2">
      <c r="L102" s="10" t="str">
        <f>name!D24</f>
        <v>71 Sales occupations</v>
      </c>
      <c r="M102" s="93">
        <f>'Occ T2'!D28-'Occ T2'!B28</f>
        <v>-9.622968801232048</v>
      </c>
      <c r="N102" s="93">
        <f>'Occ T2'!F139</f>
        <v>-22.215347719185104</v>
      </c>
    </row>
    <row r="103" spans="12:14" x14ac:dyDescent="0.2">
      <c r="L103" s="10" t="str">
        <f>name!D25</f>
        <v>72 Customer service occupations</v>
      </c>
      <c r="M103" s="93">
        <f>'Occ T2'!D29-'Occ T2'!B29</f>
        <v>6.21220448865094</v>
      </c>
      <c r="N103" s="93">
        <f>'Occ T2'!F140</f>
        <v>23.233343577701334</v>
      </c>
    </row>
    <row r="104" spans="12:14" x14ac:dyDescent="0.2">
      <c r="L104" s="10" t="str">
        <f>name!D26</f>
        <v>81 Process, plant and machine operatives</v>
      </c>
      <c r="M104" s="93">
        <f>'Occ T2'!D30-'Occ T2'!B30</f>
        <v>-11.298039829629964</v>
      </c>
      <c r="N104" s="93">
        <f>'Occ T2'!F141</f>
        <v>12.783286317275419</v>
      </c>
    </row>
    <row r="105" spans="12:14" x14ac:dyDescent="0.2">
      <c r="L105" s="10" t="str">
        <f>name!D27</f>
        <v>82 Transport and mobile machine drivers and operatives</v>
      </c>
      <c r="M105" s="93">
        <f>'Occ T2'!D31-'Occ T2'!B31</f>
        <v>-3.4656905962976197</v>
      </c>
      <c r="N105" s="93">
        <f>'Occ T2'!F142</f>
        <v>7.9867267357902989</v>
      </c>
    </row>
    <row r="106" spans="12:14" x14ac:dyDescent="0.2">
      <c r="L106" s="10" t="str">
        <f>name!D28</f>
        <v>91 Elementary trades and related occupations</v>
      </c>
      <c r="M106" s="93">
        <f>'Occ T2'!D32-'Occ T2'!B32</f>
        <v>-10.44970378945127</v>
      </c>
      <c r="N106" s="93">
        <f>'Occ T2'!F143</f>
        <v>-4.9075552663905242</v>
      </c>
    </row>
    <row r="107" spans="12:14" x14ac:dyDescent="0.2">
      <c r="L107" s="10" t="str">
        <f>name!D29</f>
        <v>92 Elementary administration and service occupations</v>
      </c>
      <c r="M107" s="93">
        <f>'Occ T2'!D33-'Occ T2'!B33</f>
        <v>-12.780866750903016</v>
      </c>
      <c r="N107" s="93">
        <f>'Occ T2'!F144</f>
        <v>8.4680749123623116</v>
      </c>
    </row>
    <row r="108" spans="12:14" x14ac:dyDescent="0.2">
      <c r="L108" s="10"/>
      <c r="M108" s="93"/>
      <c r="N108" s="93"/>
    </row>
    <row r="109" spans="12:14" x14ac:dyDescent="0.2">
      <c r="L109" s="10" t="str">
        <f>name!D3</f>
        <v>All occupations</v>
      </c>
      <c r="M109" s="93">
        <f>'Occ T2'!D35-'Occ T2'!B35</f>
        <v>111.73499999935211</v>
      </c>
      <c r="N109" s="93">
        <f>'Occ T2'!F146</f>
        <v>310.50600000082613</v>
      </c>
    </row>
    <row r="150" spans="1:16" ht="15.75" x14ac:dyDescent="0.25">
      <c r="A150" s="155" t="str">
        <f>CONCATENATE("Occupation Figure 1.2  Change in Employment by Occupation (SOC 2020), ",M152," and ",N152,", ",Info!B5)</f>
        <v>Occupation Figure 1.2  Change in Employment by Occupation (SOC 2020), 2015 - 2020 and 2020-2035, South West</v>
      </c>
    </row>
    <row r="151" spans="1:16" x14ac:dyDescent="0.2">
      <c r="P151" s="93"/>
    </row>
    <row r="152" spans="1:16" x14ac:dyDescent="0.2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2">
      <c r="L153" s="10" t="str">
        <f>name!E4</f>
        <v>Managers, directors and senior officials</v>
      </c>
      <c r="M153" s="93">
        <f>'Occ T1'!D8-'Occ T1'!B8</f>
        <v>54.953697712017856</v>
      </c>
      <c r="N153" s="93">
        <f>'Occ T1'!H8</f>
        <v>57.477471039049817</v>
      </c>
      <c r="P153" s="93"/>
    </row>
    <row r="154" spans="1:16" x14ac:dyDescent="0.2">
      <c r="L154" s="10" t="str">
        <f>name!E5</f>
        <v>Professional occupations</v>
      </c>
      <c r="M154" s="93">
        <f>'Occ T1'!D9-'Occ T1'!B9</f>
        <v>97.440986917942723</v>
      </c>
      <c r="N154" s="93">
        <f>'Occ T1'!H9</f>
        <v>157.0711323677383</v>
      </c>
      <c r="P154" s="93"/>
    </row>
    <row r="155" spans="1:16" x14ac:dyDescent="0.2">
      <c r="L155" s="10" t="str">
        <f>name!E6</f>
        <v>Associate professional occupations</v>
      </c>
      <c r="M155" s="93">
        <f>'Occ T1'!D10-'Occ T1'!B10</f>
        <v>43.548454935230268</v>
      </c>
      <c r="N155" s="93">
        <f>'Occ T1'!H10</f>
        <v>35.859952788943644</v>
      </c>
      <c r="P155" s="93"/>
    </row>
    <row r="156" spans="1:16" x14ac:dyDescent="0.2">
      <c r="L156" s="10" t="str">
        <f>name!E7</f>
        <v>Administrative and secretarial occupations</v>
      </c>
      <c r="M156" s="93">
        <f>'Occ T1'!D11-'Occ T1'!B11</f>
        <v>4.1127458176032974</v>
      </c>
      <c r="N156" s="93">
        <f>'Occ T1'!H11</f>
        <v>-32.711067389717186</v>
      </c>
      <c r="P156" s="93"/>
    </row>
    <row r="157" spans="1:16" x14ac:dyDescent="0.2">
      <c r="L157" s="10" t="str">
        <f>name!E8</f>
        <v>Skilled trades occupations</v>
      </c>
      <c r="M157" s="93">
        <f>'Occ T1'!D12-'Occ T1'!B12</f>
        <v>-33.930444598648307</v>
      </c>
      <c r="N157" s="93">
        <f>'Occ T1'!H12</f>
        <v>8.4776601840322314</v>
      </c>
      <c r="P157" s="93"/>
    </row>
    <row r="158" spans="1:16" x14ac:dyDescent="0.2">
      <c r="L158" s="10" t="str">
        <f>name!E9</f>
        <v>Caring, leisure and other service occupations</v>
      </c>
      <c r="M158" s="93">
        <f>'Occ T1'!D13-'Occ T1'!B13</f>
        <v>-12.985375505931529</v>
      </c>
      <c r="N158" s="93">
        <f>'Occ T1'!H13</f>
        <v>58.982322453227198</v>
      </c>
      <c r="P158" s="93"/>
    </row>
    <row r="159" spans="1:16" x14ac:dyDescent="0.2">
      <c r="L159" s="10" t="str">
        <f>name!E10</f>
        <v>Sales and customer service occupations</v>
      </c>
      <c r="M159" s="93">
        <f>'Occ T1'!D14-'Occ T1'!B14</f>
        <v>-3.4107643125810796</v>
      </c>
      <c r="N159" s="93">
        <f>'Occ T1'!H14</f>
        <v>1.0179958585162012</v>
      </c>
      <c r="P159" s="93"/>
    </row>
    <row r="160" spans="1:16" x14ac:dyDescent="0.2">
      <c r="L160" s="10" t="str">
        <f>name!E11</f>
        <v>Process, plant and machine operatives</v>
      </c>
      <c r="M160" s="93">
        <f>'Occ T1'!D15-'Occ T1'!B15</f>
        <v>-14.763730425927605</v>
      </c>
      <c r="N160" s="93">
        <f>'Occ T1'!H15</f>
        <v>20.770013053065725</v>
      </c>
      <c r="P160" s="93"/>
    </row>
    <row r="161" spans="12:16" x14ac:dyDescent="0.2">
      <c r="L161" s="10" t="str">
        <f>name!E12</f>
        <v>Elementary occupations</v>
      </c>
      <c r="M161" s="93">
        <f>'Occ T1'!D16-'Occ T1'!B16</f>
        <v>-23.230570540354279</v>
      </c>
      <c r="N161" s="93">
        <f>'Occ T1'!H16</f>
        <v>3.5605196459717376</v>
      </c>
      <c r="P161" s="93"/>
    </row>
    <row r="162" spans="12:16" x14ac:dyDescent="0.2">
      <c r="L162" s="10"/>
      <c r="M162" s="93"/>
      <c r="N162" s="93"/>
      <c r="P162" s="93"/>
    </row>
    <row r="163" spans="12:16" x14ac:dyDescent="0.2">
      <c r="L163" s="10" t="str">
        <f>name!E3</f>
        <v>All occupations</v>
      </c>
      <c r="M163" s="93">
        <f>'Occ T1'!D18-'Occ T1'!B18</f>
        <v>111.7349999993512</v>
      </c>
      <c r="N163" s="93">
        <f>'Occ T1'!H18</f>
        <v>310.50600000082767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/>
  </sheetViews>
  <sheetFormatPr defaultColWidth="9.140625"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52.28515625" customWidth="1"/>
    <col min="13" max="38" width="15.7109375" customWidth="1"/>
    <col min="39" max="39" width="7.7109375" customWidth="1"/>
    <col min="40" max="63" width="6.28515625" customWidth="1"/>
  </cols>
  <sheetData>
    <row r="1" spans="1:67" ht="15.75" x14ac:dyDescent="0.25">
      <c r="A1" s="79" t="str">
        <f>CONCATENATE("Occupation Figure 2  Employment by Occupation (SOC 2020), ",$M$2,"-",$O$2,", ",Info!B5)</f>
        <v>Occupation Figure 2  Employment by Occupation (SOC 2020), 2010-2035, South West</v>
      </c>
      <c r="L1" s="45"/>
    </row>
    <row r="2" spans="1:67" x14ac:dyDescent="0.2">
      <c r="A2" s="181" t="s">
        <v>538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2">
      <c r="L3" s="15"/>
      <c r="M3" s="15"/>
      <c r="N3" s="46"/>
      <c r="O3" s="15"/>
    </row>
    <row r="4" spans="1:67" x14ac:dyDescent="0.2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2">
      <c r="L5" s="16" t="str">
        <f>'Occ T3'!A7</f>
        <v>Managers, directors and senior officials</v>
      </c>
      <c r="M5" s="86">
        <f t="shared" ref="M5:P5" si="0">SUM(M6:M7)</f>
        <v>229.17553177282025</v>
      </c>
      <c r="N5" s="86">
        <f t="shared" si="0"/>
        <v>255.43922823036496</v>
      </c>
      <c r="O5" s="86">
        <f t="shared" si="0"/>
        <v>254.50391479365874</v>
      </c>
      <c r="P5" s="86">
        <f t="shared" si="0"/>
        <v>266.84858892343817</v>
      </c>
      <c r="Q5" s="86">
        <f>SUM(Q6:Q7)</f>
        <v>283.47024125652075</v>
      </c>
      <c r="R5" s="86">
        <f t="shared" ref="R5:AL5" si="1">SUM(R6:R7)</f>
        <v>281.71796036085652</v>
      </c>
      <c r="S5" s="86">
        <f t="shared" si="1"/>
        <v>287.4677672315064</v>
      </c>
      <c r="T5" s="86">
        <f t="shared" si="1"/>
        <v>310.69408298950873</v>
      </c>
      <c r="U5" s="86">
        <f t="shared" si="1"/>
        <v>315.82836822306058</v>
      </c>
      <c r="V5" s="86">
        <f t="shared" si="1"/>
        <v>328.11102486796204</v>
      </c>
      <c r="W5" s="86">
        <f t="shared" si="1"/>
        <v>336.67165807287438</v>
      </c>
      <c r="X5" s="86">
        <f t="shared" si="1"/>
        <v>328.2046669115083</v>
      </c>
      <c r="Y5" s="86">
        <f t="shared" si="1"/>
        <v>333.75294684751884</v>
      </c>
      <c r="Z5" s="86">
        <f t="shared" si="1"/>
        <v>340.19396166608499</v>
      </c>
      <c r="AA5" s="86">
        <f t="shared" si="1"/>
        <v>346.16798067552674</v>
      </c>
      <c r="AB5" s="86">
        <f t="shared" si="1"/>
        <v>351.00137125683085</v>
      </c>
      <c r="AC5" s="86">
        <f t="shared" si="1"/>
        <v>355.5532239009334</v>
      </c>
      <c r="AD5" s="86">
        <f t="shared" si="1"/>
        <v>359.90114108794774</v>
      </c>
      <c r="AE5" s="86">
        <f t="shared" si="1"/>
        <v>364.35782900742129</v>
      </c>
      <c r="AF5" s="86">
        <f t="shared" si="1"/>
        <v>368.82915604228202</v>
      </c>
      <c r="AG5" s="86">
        <f t="shared" si="1"/>
        <v>373.50435157480797</v>
      </c>
      <c r="AH5" s="86">
        <f t="shared" si="1"/>
        <v>378.23512886135939</v>
      </c>
      <c r="AI5" s="86">
        <f t="shared" si="1"/>
        <v>382.88698277848414</v>
      </c>
      <c r="AJ5" s="86">
        <f t="shared" si="1"/>
        <v>387.63442773270174</v>
      </c>
      <c r="AK5" s="86">
        <f t="shared" si="1"/>
        <v>391.94663391850167</v>
      </c>
      <c r="AL5" s="86">
        <f t="shared" si="1"/>
        <v>394.1491291119242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2">
      <c r="L6" s="232" t="str">
        <f>'Occ T3'!A8</f>
        <v>11 Corporate managers and directors</v>
      </c>
      <c r="M6" s="11">
        <v>146.1163214810247</v>
      </c>
      <c r="N6" s="11">
        <v>161.10683496973567</v>
      </c>
      <c r="O6" s="11">
        <v>164.22510887123161</v>
      </c>
      <c r="P6" s="11">
        <v>170.53903249376822</v>
      </c>
      <c r="Q6" s="11">
        <v>168.44201422058592</v>
      </c>
      <c r="R6" s="11">
        <v>178.28774463132186</v>
      </c>
      <c r="S6" s="11">
        <v>189.19007721754329</v>
      </c>
      <c r="T6" s="11">
        <v>198.56289695967092</v>
      </c>
      <c r="U6" s="11">
        <v>203.11271230844605</v>
      </c>
      <c r="V6" s="11">
        <v>213.59764295854791</v>
      </c>
      <c r="W6" s="11">
        <v>220.42416840586966</v>
      </c>
      <c r="X6" s="11">
        <v>196.15444198574232</v>
      </c>
      <c r="Y6" s="11">
        <v>198.67922456216886</v>
      </c>
      <c r="Z6" s="11">
        <v>201.6563013405094</v>
      </c>
      <c r="AA6" s="11">
        <v>204.54984972510238</v>
      </c>
      <c r="AB6" s="11">
        <v>206.88200941059679</v>
      </c>
      <c r="AC6" s="11">
        <v>209.02577602816285</v>
      </c>
      <c r="AD6" s="11">
        <v>211.07151684852616</v>
      </c>
      <c r="AE6" s="11">
        <v>213.13307117502106</v>
      </c>
      <c r="AF6" s="11">
        <v>215.2238923144497</v>
      </c>
      <c r="AG6" s="11">
        <v>217.44630190683668</v>
      </c>
      <c r="AH6" s="11">
        <v>219.71539521599942</v>
      </c>
      <c r="AI6" s="11">
        <v>222.01747102701719</v>
      </c>
      <c r="AJ6" s="11">
        <v>224.440401390636</v>
      </c>
      <c r="AK6" s="11">
        <v>226.59561371100915</v>
      </c>
      <c r="AL6" s="11">
        <v>228.60191583847305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2">
      <c r="L7" s="232" t="str">
        <f>'Occ T3'!A9</f>
        <v>12 Other managers and proprietors</v>
      </c>
      <c r="M7" s="11">
        <v>83.059210291795537</v>
      </c>
      <c r="N7" s="11">
        <v>94.332393260629303</v>
      </c>
      <c r="O7" s="11">
        <v>90.278805922427111</v>
      </c>
      <c r="P7" s="11">
        <v>96.309556429669939</v>
      </c>
      <c r="Q7" s="11">
        <v>115.02822703593485</v>
      </c>
      <c r="R7" s="11">
        <v>103.43021572953465</v>
      </c>
      <c r="S7" s="11">
        <v>98.277690013963124</v>
      </c>
      <c r="T7" s="11">
        <v>112.13118602983778</v>
      </c>
      <c r="U7" s="11">
        <v>112.7156559146145</v>
      </c>
      <c r="V7" s="11">
        <v>114.51338190941415</v>
      </c>
      <c r="W7" s="11">
        <v>116.24748966700469</v>
      </c>
      <c r="X7" s="11">
        <v>132.05022492576595</v>
      </c>
      <c r="Y7" s="11">
        <v>135.07372228535002</v>
      </c>
      <c r="Z7" s="11">
        <v>138.53766032557559</v>
      </c>
      <c r="AA7" s="11">
        <v>141.61813095042436</v>
      </c>
      <c r="AB7" s="11">
        <v>144.11936184623406</v>
      </c>
      <c r="AC7" s="11">
        <v>146.52744787277052</v>
      </c>
      <c r="AD7" s="11">
        <v>148.82962423942158</v>
      </c>
      <c r="AE7" s="11">
        <v>151.22475783240023</v>
      </c>
      <c r="AF7" s="11">
        <v>153.60526372783232</v>
      </c>
      <c r="AG7" s="11">
        <v>156.05804966797126</v>
      </c>
      <c r="AH7" s="11">
        <v>158.51973364535993</v>
      </c>
      <c r="AI7" s="11">
        <v>160.86951175146694</v>
      </c>
      <c r="AJ7" s="11">
        <v>163.19402634206571</v>
      </c>
      <c r="AK7" s="11">
        <v>165.35102020749252</v>
      </c>
      <c r="AL7" s="11">
        <v>165.54721327345115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2">
      <c r="L9" s="16" t="str">
        <f>'Occ T3'!A11</f>
        <v>Professional occupations</v>
      </c>
      <c r="M9" s="86">
        <f t="shared" ref="M9:P9" si="2">SUM(M10:M13)</f>
        <v>515.26528122843354</v>
      </c>
      <c r="N9" s="86">
        <f t="shared" si="2"/>
        <v>518.02879684956304</v>
      </c>
      <c r="O9" s="86">
        <f t="shared" si="2"/>
        <v>516.828553605141</v>
      </c>
      <c r="P9" s="86">
        <f t="shared" si="2"/>
        <v>533.84259772755979</v>
      </c>
      <c r="Q9" s="86">
        <f>SUM(Q10:Q13)</f>
        <v>544.34580750107591</v>
      </c>
      <c r="R9" s="86">
        <f t="shared" ref="R9:AL9" si="3">SUM(R10:R13)</f>
        <v>555.82323062112903</v>
      </c>
      <c r="S9" s="86">
        <f t="shared" si="3"/>
        <v>578.70004562487952</v>
      </c>
      <c r="T9" s="86">
        <f t="shared" si="3"/>
        <v>578.99903744802259</v>
      </c>
      <c r="U9" s="86">
        <f t="shared" si="3"/>
        <v>602.55632705904316</v>
      </c>
      <c r="V9" s="86">
        <f t="shared" si="3"/>
        <v>632.66922070562805</v>
      </c>
      <c r="W9" s="86">
        <f t="shared" si="3"/>
        <v>653.26421753907175</v>
      </c>
      <c r="X9" s="86">
        <f t="shared" si="3"/>
        <v>673.54170539310098</v>
      </c>
      <c r="Y9" s="86">
        <f t="shared" si="3"/>
        <v>683.8608277231516</v>
      </c>
      <c r="Z9" s="86">
        <f t="shared" si="3"/>
        <v>695.04700383471379</v>
      </c>
      <c r="AA9" s="86">
        <f t="shared" si="3"/>
        <v>706.22117715325521</v>
      </c>
      <c r="AB9" s="86">
        <f t="shared" si="3"/>
        <v>715.63579413435548</v>
      </c>
      <c r="AC9" s="86">
        <f t="shared" si="3"/>
        <v>724.78901801840107</v>
      </c>
      <c r="AD9" s="86">
        <f t="shared" si="3"/>
        <v>733.7345571829652</v>
      </c>
      <c r="AE9" s="86">
        <f t="shared" si="3"/>
        <v>742.92874102405744</v>
      </c>
      <c r="AF9" s="86">
        <f t="shared" si="3"/>
        <v>752.23427880492227</v>
      </c>
      <c r="AG9" s="86">
        <f t="shared" si="3"/>
        <v>761.77147510794475</v>
      </c>
      <c r="AH9" s="86">
        <f t="shared" si="3"/>
        <v>771.17914859230154</v>
      </c>
      <c r="AI9" s="86">
        <f t="shared" si="3"/>
        <v>780.8388564942735</v>
      </c>
      <c r="AJ9" s="86">
        <f t="shared" si="3"/>
        <v>790.84007348329521</v>
      </c>
      <c r="AK9" s="86">
        <f t="shared" si="3"/>
        <v>800.67859246669127</v>
      </c>
      <c r="AL9" s="86">
        <f t="shared" si="3"/>
        <v>810.33534990681005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2">
      <c r="L10" s="232" t="str">
        <f>'Occ T3'!A12</f>
        <v>21 Science, research, engineering and technology professionals</v>
      </c>
      <c r="M10" s="11">
        <v>133.3447998950688</v>
      </c>
      <c r="N10" s="11">
        <v>131.83320982420258</v>
      </c>
      <c r="O10" s="11">
        <v>131.39456740615904</v>
      </c>
      <c r="P10" s="11">
        <v>131.09227432017053</v>
      </c>
      <c r="Q10" s="11">
        <v>139.03018845470686</v>
      </c>
      <c r="R10" s="11">
        <v>147.35087953346306</v>
      </c>
      <c r="S10" s="11">
        <v>153.85235188068972</v>
      </c>
      <c r="T10" s="11">
        <v>152.01413987703245</v>
      </c>
      <c r="U10" s="11">
        <v>164.66728499882521</v>
      </c>
      <c r="V10" s="11">
        <v>169.34812313639929</v>
      </c>
      <c r="W10" s="11">
        <v>174.78975240588667</v>
      </c>
      <c r="X10" s="11">
        <v>176.0606336931028</v>
      </c>
      <c r="Y10" s="11">
        <v>178.5746600463381</v>
      </c>
      <c r="Z10" s="11">
        <v>181.49546604584285</v>
      </c>
      <c r="AA10" s="11">
        <v>184.28735907947507</v>
      </c>
      <c r="AB10" s="11">
        <v>186.54260993602119</v>
      </c>
      <c r="AC10" s="11">
        <v>188.73427559872485</v>
      </c>
      <c r="AD10" s="11">
        <v>190.87870384706957</v>
      </c>
      <c r="AE10" s="11">
        <v>193.09196622403351</v>
      </c>
      <c r="AF10" s="11">
        <v>195.33536400683255</v>
      </c>
      <c r="AG10" s="11">
        <v>197.69773008539849</v>
      </c>
      <c r="AH10" s="11">
        <v>200.02995363273885</v>
      </c>
      <c r="AI10" s="11">
        <v>202.41590008431038</v>
      </c>
      <c r="AJ10" s="11">
        <v>204.82812433245041</v>
      </c>
      <c r="AK10" s="11">
        <v>207.16434140547065</v>
      </c>
      <c r="AL10" s="11">
        <v>209.54199786733972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2">
      <c r="L11" s="232" t="str">
        <f>'Occ T3'!A13</f>
        <v>22 Health professionals</v>
      </c>
      <c r="M11" s="11">
        <v>99.358511002079226</v>
      </c>
      <c r="N11" s="11">
        <v>106.51554829053407</v>
      </c>
      <c r="O11" s="11">
        <v>111.4085051996292</v>
      </c>
      <c r="P11" s="11">
        <v>118.95000901330098</v>
      </c>
      <c r="Q11" s="11">
        <v>121.88984116264101</v>
      </c>
      <c r="R11" s="11">
        <v>123.14430616433667</v>
      </c>
      <c r="S11" s="11">
        <v>122.09324019619623</v>
      </c>
      <c r="T11" s="11">
        <v>130.05949123882294</v>
      </c>
      <c r="U11" s="11">
        <v>131.34182890341006</v>
      </c>
      <c r="V11" s="11">
        <v>137.3170036592112</v>
      </c>
      <c r="W11" s="11">
        <v>136.06688372711437</v>
      </c>
      <c r="X11" s="11">
        <v>141.9081886992042</v>
      </c>
      <c r="Y11" s="11">
        <v>144.43013974502287</v>
      </c>
      <c r="Z11" s="11">
        <v>146.9827139437798</v>
      </c>
      <c r="AA11" s="11">
        <v>149.6397674431114</v>
      </c>
      <c r="AB11" s="11">
        <v>152.01556031283346</v>
      </c>
      <c r="AC11" s="11">
        <v>154.29820936989776</v>
      </c>
      <c r="AD11" s="11">
        <v>156.52064456033989</v>
      </c>
      <c r="AE11" s="11">
        <v>158.94680538422227</v>
      </c>
      <c r="AF11" s="11">
        <v>161.29999239894116</v>
      </c>
      <c r="AG11" s="11">
        <v>163.72103805308728</v>
      </c>
      <c r="AH11" s="11">
        <v>166.11554212093915</v>
      </c>
      <c r="AI11" s="11">
        <v>168.53025324761344</v>
      </c>
      <c r="AJ11" s="11">
        <v>171.07480114507004</v>
      </c>
      <c r="AK11" s="11">
        <v>173.58814099707763</v>
      </c>
      <c r="AL11" s="11">
        <v>175.96215290882705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2">
      <c r="L12" s="232" t="str">
        <f>'Occ T3'!A14</f>
        <v>23 Teaching and other educational professionals</v>
      </c>
      <c r="M12" s="11">
        <v>132.68831127287385</v>
      </c>
      <c r="N12" s="11">
        <v>136.1655997661297</v>
      </c>
      <c r="O12" s="11">
        <v>136.20616049585306</v>
      </c>
      <c r="P12" s="11">
        <v>135.80282708975594</v>
      </c>
      <c r="Q12" s="11">
        <v>130.31926877794447</v>
      </c>
      <c r="R12" s="11">
        <v>131.96078482642613</v>
      </c>
      <c r="S12" s="11">
        <v>145.28085982473655</v>
      </c>
      <c r="T12" s="11">
        <v>139.51282189857199</v>
      </c>
      <c r="U12" s="11">
        <v>138.69365913674699</v>
      </c>
      <c r="V12" s="11">
        <v>146.09030944326346</v>
      </c>
      <c r="W12" s="11">
        <v>147.16638535201332</v>
      </c>
      <c r="X12" s="11">
        <v>148.25632691271218</v>
      </c>
      <c r="Y12" s="11">
        <v>149.99234175690177</v>
      </c>
      <c r="Z12" s="11">
        <v>151.92331800436321</v>
      </c>
      <c r="AA12" s="11">
        <v>153.96544786831672</v>
      </c>
      <c r="AB12" s="11">
        <v>155.67652326982011</v>
      </c>
      <c r="AC12" s="11">
        <v>157.33751765973437</v>
      </c>
      <c r="AD12" s="11">
        <v>158.9687643453276</v>
      </c>
      <c r="AE12" s="11">
        <v>160.60744040790379</v>
      </c>
      <c r="AF12" s="11">
        <v>162.31685377036976</v>
      </c>
      <c r="AG12" s="11">
        <v>163.9689291410437</v>
      </c>
      <c r="AH12" s="11">
        <v>165.62577874155028</v>
      </c>
      <c r="AI12" s="11">
        <v>167.29192319662954</v>
      </c>
      <c r="AJ12" s="11">
        <v>169.00430578021934</v>
      </c>
      <c r="AK12" s="11">
        <v>170.7960068727034</v>
      </c>
      <c r="AL12" s="11">
        <v>172.55168775110647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2">
      <c r="L13" s="232" t="str">
        <f>'Occ T3'!A15</f>
        <v>24 Business, media and public service professionals</v>
      </c>
      <c r="M13" s="11">
        <v>149.8736590584117</v>
      </c>
      <c r="N13" s="11">
        <v>143.51443896869674</v>
      </c>
      <c r="O13" s="11">
        <v>137.81932050349971</v>
      </c>
      <c r="P13" s="11">
        <v>147.99748730433237</v>
      </c>
      <c r="Q13" s="11">
        <v>153.1065091057836</v>
      </c>
      <c r="R13" s="11">
        <v>153.3672600969031</v>
      </c>
      <c r="S13" s="11">
        <v>157.4735937232569</v>
      </c>
      <c r="T13" s="11">
        <v>157.41258443359521</v>
      </c>
      <c r="U13" s="11">
        <v>167.8535540200609</v>
      </c>
      <c r="V13" s="11">
        <v>179.91378446675418</v>
      </c>
      <c r="W13" s="11">
        <v>195.24119605405735</v>
      </c>
      <c r="X13" s="11">
        <v>207.31655608808185</v>
      </c>
      <c r="Y13" s="11">
        <v>210.86368617488893</v>
      </c>
      <c r="Z13" s="11">
        <v>214.64550584072796</v>
      </c>
      <c r="AA13" s="11">
        <v>218.32860276235209</v>
      </c>
      <c r="AB13" s="11">
        <v>221.40110061568069</v>
      </c>
      <c r="AC13" s="11">
        <v>224.41901539004411</v>
      </c>
      <c r="AD13" s="11">
        <v>227.36644443022814</v>
      </c>
      <c r="AE13" s="11">
        <v>230.28252900789786</v>
      </c>
      <c r="AF13" s="11">
        <v>233.28206862877883</v>
      </c>
      <c r="AG13" s="11">
        <v>236.38377782841525</v>
      </c>
      <c r="AH13" s="11">
        <v>239.40787409707332</v>
      </c>
      <c r="AI13" s="11">
        <v>242.60077996572008</v>
      </c>
      <c r="AJ13" s="11">
        <v>245.93284222555542</v>
      </c>
      <c r="AK13" s="11">
        <v>249.13010319143964</v>
      </c>
      <c r="AL13" s="11">
        <v>252.27951137953681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2">
      <c r="L15" s="16" t="str">
        <f>'Occ T3'!A17</f>
        <v>Associate professional occupations</v>
      </c>
      <c r="M15" s="86">
        <f>SUM(M16:M20)</f>
        <v>302.06036756524418</v>
      </c>
      <c r="N15" s="86">
        <f t="shared" ref="N15:P15" si="4">SUM(N16:N20)</f>
        <v>310.18428693512726</v>
      </c>
      <c r="O15" s="86">
        <f t="shared" si="4"/>
        <v>312.35185681768968</v>
      </c>
      <c r="P15" s="86">
        <f t="shared" si="4"/>
        <v>314.90429973433828</v>
      </c>
      <c r="Q15" s="86">
        <f>SUM(Q16:Q20)</f>
        <v>328.3481547057421</v>
      </c>
      <c r="R15" s="86">
        <f t="shared" ref="R15:AL15" si="5">SUM(R16:R20)</f>
        <v>332.20088542727456</v>
      </c>
      <c r="S15" s="86">
        <f t="shared" si="5"/>
        <v>337.60895331778494</v>
      </c>
      <c r="T15" s="86">
        <f t="shared" si="5"/>
        <v>345.70066443921178</v>
      </c>
      <c r="U15" s="86">
        <f t="shared" si="5"/>
        <v>359.20366953790318</v>
      </c>
      <c r="V15" s="86">
        <f t="shared" si="5"/>
        <v>361.74689249960034</v>
      </c>
      <c r="W15" s="86">
        <f t="shared" si="5"/>
        <v>375.74934036250482</v>
      </c>
      <c r="X15" s="86">
        <f t="shared" si="5"/>
        <v>356.45138978387058</v>
      </c>
      <c r="Y15" s="86">
        <f t="shared" si="5"/>
        <v>361.94657611012906</v>
      </c>
      <c r="Z15" s="86">
        <f t="shared" si="5"/>
        <v>367.40530429720695</v>
      </c>
      <c r="AA15" s="86">
        <f t="shared" si="5"/>
        <v>372.25127262928498</v>
      </c>
      <c r="AB15" s="86">
        <f t="shared" si="5"/>
        <v>375.92965010188578</v>
      </c>
      <c r="AC15" s="86">
        <f t="shared" si="5"/>
        <v>379.37473476555033</v>
      </c>
      <c r="AD15" s="86">
        <f t="shared" si="5"/>
        <v>382.66670723939581</v>
      </c>
      <c r="AE15" s="86">
        <f t="shared" si="5"/>
        <v>385.99821171197686</v>
      </c>
      <c r="AF15" s="86">
        <f t="shared" si="5"/>
        <v>389.37213084258906</v>
      </c>
      <c r="AG15" s="86">
        <f t="shared" si="5"/>
        <v>392.98730969684584</v>
      </c>
      <c r="AH15" s="86">
        <f t="shared" si="5"/>
        <v>396.65871566220687</v>
      </c>
      <c r="AI15" s="86">
        <f t="shared" si="5"/>
        <v>400.59055613277434</v>
      </c>
      <c r="AJ15" s="86">
        <f t="shared" si="5"/>
        <v>404.38170836025313</v>
      </c>
      <c r="AK15" s="86">
        <f t="shared" si="5"/>
        <v>408.16873541583448</v>
      </c>
      <c r="AL15" s="86">
        <f t="shared" si="5"/>
        <v>411.60929315144847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2">
      <c r="L16" s="232" t="str">
        <f>'Occ T3'!A18</f>
        <v>31 Science, engineering and technology associate professionals</v>
      </c>
      <c r="M16" s="11">
        <v>45.20229381259594</v>
      </c>
      <c r="N16" s="11">
        <v>44.312794308260777</v>
      </c>
      <c r="O16" s="11">
        <v>44.674956512041121</v>
      </c>
      <c r="P16" s="11">
        <v>45.680156484379765</v>
      </c>
      <c r="Q16" s="11">
        <v>42.694107355957598</v>
      </c>
      <c r="R16" s="11">
        <v>43.995185541434438</v>
      </c>
      <c r="S16" s="11">
        <v>45.691139805502402</v>
      </c>
      <c r="T16" s="11">
        <v>51.590585228607104</v>
      </c>
      <c r="U16" s="11">
        <v>52.843308820532492</v>
      </c>
      <c r="V16" s="11">
        <v>52.324421892950539</v>
      </c>
      <c r="W16" s="11">
        <v>57.22704281714396</v>
      </c>
      <c r="X16" s="11">
        <v>48.816915450771077</v>
      </c>
      <c r="Y16" s="11">
        <v>49.306610427521328</v>
      </c>
      <c r="Z16" s="11">
        <v>49.905145088123952</v>
      </c>
      <c r="AA16" s="11">
        <v>50.483150894725952</v>
      </c>
      <c r="AB16" s="11">
        <v>50.887180174802381</v>
      </c>
      <c r="AC16" s="11">
        <v>51.26107398148752</v>
      </c>
      <c r="AD16" s="11">
        <v>51.638297645741105</v>
      </c>
      <c r="AE16" s="11">
        <v>51.979673555105521</v>
      </c>
      <c r="AF16" s="11">
        <v>52.283606634763494</v>
      </c>
      <c r="AG16" s="11">
        <v>52.610035709224704</v>
      </c>
      <c r="AH16" s="11">
        <v>53.00988843360502</v>
      </c>
      <c r="AI16" s="11">
        <v>53.454089522170541</v>
      </c>
      <c r="AJ16" s="11">
        <v>53.878338358069882</v>
      </c>
      <c r="AK16" s="11">
        <v>54.295298772852512</v>
      </c>
      <c r="AL16" s="11">
        <v>54.695032844743452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2">
      <c r="L17" s="232" t="str">
        <f>'Occ T3'!A19</f>
        <v>32 Health and social care associate professionals</v>
      </c>
      <c r="M17" s="11">
        <v>40.776801363039709</v>
      </c>
      <c r="N17" s="11">
        <v>49.574982268779145</v>
      </c>
      <c r="O17" s="11">
        <v>50.937412633416031</v>
      </c>
      <c r="P17" s="11">
        <v>52.032842784278486</v>
      </c>
      <c r="Q17" s="11">
        <v>53.132041927710148</v>
      </c>
      <c r="R17" s="11">
        <v>54.70334863148971</v>
      </c>
      <c r="S17" s="11">
        <v>53.123790475073335</v>
      </c>
      <c r="T17" s="11">
        <v>52.813105996112526</v>
      </c>
      <c r="U17" s="11">
        <v>58.546534721980869</v>
      </c>
      <c r="V17" s="11">
        <v>58.442565330285852</v>
      </c>
      <c r="W17" s="11">
        <v>58.891200721634888</v>
      </c>
      <c r="X17" s="11">
        <v>57.699896613355996</v>
      </c>
      <c r="Y17" s="11">
        <v>58.649275442035403</v>
      </c>
      <c r="Z17" s="11">
        <v>59.628487419569453</v>
      </c>
      <c r="AA17" s="11">
        <v>60.644060936226545</v>
      </c>
      <c r="AB17" s="11">
        <v>61.545763256510249</v>
      </c>
      <c r="AC17" s="11">
        <v>62.402742051080217</v>
      </c>
      <c r="AD17" s="11">
        <v>63.225454224889148</v>
      </c>
      <c r="AE17" s="11">
        <v>64.086939458686899</v>
      </c>
      <c r="AF17" s="11">
        <v>64.962549391177973</v>
      </c>
      <c r="AG17" s="11">
        <v>65.876692901816554</v>
      </c>
      <c r="AH17" s="11">
        <v>66.782843468152436</v>
      </c>
      <c r="AI17" s="11">
        <v>67.669164402954976</v>
      </c>
      <c r="AJ17" s="11">
        <v>68.560164615639707</v>
      </c>
      <c r="AK17" s="11">
        <v>69.453886991051661</v>
      </c>
      <c r="AL17" s="11">
        <v>70.358001501575828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2">
      <c r="L18" s="232" t="str">
        <f>'Occ T3'!A20</f>
        <v>33 Protective service occupations</v>
      </c>
      <c r="M18" s="11">
        <v>18.502317688209871</v>
      </c>
      <c r="N18" s="11">
        <v>21.450474270902376</v>
      </c>
      <c r="O18" s="11">
        <v>20.90130488188208</v>
      </c>
      <c r="P18" s="11">
        <v>18.650696235826032</v>
      </c>
      <c r="Q18" s="11">
        <v>18.723017201865403</v>
      </c>
      <c r="R18" s="11">
        <v>18.918456756356868</v>
      </c>
      <c r="S18" s="11">
        <v>21.247972486597106</v>
      </c>
      <c r="T18" s="11">
        <v>20.65347739459094</v>
      </c>
      <c r="U18" s="11">
        <v>20.448005763000403</v>
      </c>
      <c r="V18" s="11">
        <v>19.65663641320371</v>
      </c>
      <c r="W18" s="11">
        <v>21.197229754485431</v>
      </c>
      <c r="X18" s="11">
        <v>23.956102161473424</v>
      </c>
      <c r="Y18" s="11">
        <v>24.540523716862438</v>
      </c>
      <c r="Z18" s="11">
        <v>25.069557819071864</v>
      </c>
      <c r="AA18" s="11">
        <v>25.586792981032715</v>
      </c>
      <c r="AB18" s="11">
        <v>25.968342007031605</v>
      </c>
      <c r="AC18" s="11">
        <v>26.357184819542741</v>
      </c>
      <c r="AD18" s="11">
        <v>26.726903478906934</v>
      </c>
      <c r="AE18" s="11">
        <v>27.111303145845369</v>
      </c>
      <c r="AF18" s="11">
        <v>27.492625307379509</v>
      </c>
      <c r="AG18" s="11">
        <v>27.945026787387871</v>
      </c>
      <c r="AH18" s="11">
        <v>28.384301410150591</v>
      </c>
      <c r="AI18" s="11">
        <v>28.850735789363902</v>
      </c>
      <c r="AJ18" s="11">
        <v>29.205354576770038</v>
      </c>
      <c r="AK18" s="11">
        <v>29.623792421700664</v>
      </c>
      <c r="AL18" s="11">
        <v>29.961326346665203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2">
      <c r="L19" s="232" t="str">
        <f>'Occ T3'!A21</f>
        <v>34 Culture, media and sports occupations</v>
      </c>
      <c r="M19" s="11">
        <v>42.954076239230574</v>
      </c>
      <c r="N19" s="11">
        <v>53.08560216993115</v>
      </c>
      <c r="O19" s="11">
        <v>50.932263708717478</v>
      </c>
      <c r="P19" s="11">
        <v>49.323862078403948</v>
      </c>
      <c r="Q19" s="11">
        <v>55.383154390423144</v>
      </c>
      <c r="R19" s="11">
        <v>57.633479740380658</v>
      </c>
      <c r="S19" s="11">
        <v>58.849934070765627</v>
      </c>
      <c r="T19" s="11">
        <v>56.54183575227411</v>
      </c>
      <c r="U19" s="11">
        <v>62.133007086224737</v>
      </c>
      <c r="V19" s="11">
        <v>62.64236339604215</v>
      </c>
      <c r="W19" s="11">
        <v>62.187444415764752</v>
      </c>
      <c r="X19" s="11">
        <v>59.430522135093135</v>
      </c>
      <c r="Y19" s="11">
        <v>61.564545341004695</v>
      </c>
      <c r="Z19" s="11">
        <v>63.238167908364204</v>
      </c>
      <c r="AA19" s="11">
        <v>64.42673565786005</v>
      </c>
      <c r="AB19" s="11">
        <v>65.396091153214783</v>
      </c>
      <c r="AC19" s="11">
        <v>66.33409150105858</v>
      </c>
      <c r="AD19" s="11">
        <v>67.267287300097024</v>
      </c>
      <c r="AE19" s="11">
        <v>68.201483980855201</v>
      </c>
      <c r="AF19" s="11">
        <v>69.162191991600977</v>
      </c>
      <c r="AG19" s="11">
        <v>70.150790347283404</v>
      </c>
      <c r="AH19" s="11">
        <v>71.139334700854292</v>
      </c>
      <c r="AI19" s="11">
        <v>72.383959437607828</v>
      </c>
      <c r="AJ19" s="11">
        <v>73.641472847553771</v>
      </c>
      <c r="AK19" s="11">
        <v>74.835180617665372</v>
      </c>
      <c r="AL19" s="11">
        <v>75.861044003421796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2">
      <c r="L20" s="232" t="str">
        <f>'Occ T3'!A22</f>
        <v>35 Business and public service associate professionals</v>
      </c>
      <c r="M20" s="11">
        <v>154.62487846216808</v>
      </c>
      <c r="N20" s="11">
        <v>141.76043391725383</v>
      </c>
      <c r="O20" s="11">
        <v>144.90591908163296</v>
      </c>
      <c r="P20" s="11">
        <v>149.21674215145003</v>
      </c>
      <c r="Q20" s="11">
        <v>158.41583382978581</v>
      </c>
      <c r="R20" s="11">
        <v>156.95041475761286</v>
      </c>
      <c r="S20" s="11">
        <v>158.69611647984647</v>
      </c>
      <c r="T20" s="11">
        <v>164.10166006762711</v>
      </c>
      <c r="U20" s="11">
        <v>165.23281314616469</v>
      </c>
      <c r="V20" s="11">
        <v>168.68090546711812</v>
      </c>
      <c r="W20" s="11">
        <v>176.2464226534758</v>
      </c>
      <c r="X20" s="11">
        <v>166.54795342317695</v>
      </c>
      <c r="Y20" s="11">
        <v>167.88562118270514</v>
      </c>
      <c r="Z20" s="11">
        <v>169.56394606207752</v>
      </c>
      <c r="AA20" s="11">
        <v>171.11053215943974</v>
      </c>
      <c r="AB20" s="11">
        <v>172.1322735103268</v>
      </c>
      <c r="AC20" s="11">
        <v>173.01964241238127</v>
      </c>
      <c r="AD20" s="11">
        <v>173.80876458976155</v>
      </c>
      <c r="AE20" s="11">
        <v>174.61881157148392</v>
      </c>
      <c r="AF20" s="11">
        <v>175.47115751766714</v>
      </c>
      <c r="AG20" s="11">
        <v>176.4047639511333</v>
      </c>
      <c r="AH20" s="11">
        <v>177.34234764944452</v>
      </c>
      <c r="AI20" s="11">
        <v>178.23260698067708</v>
      </c>
      <c r="AJ20" s="11">
        <v>179.09637796221972</v>
      </c>
      <c r="AK20" s="11">
        <v>179.9605766125643</v>
      </c>
      <c r="AL20" s="11">
        <v>180.73388845504215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2">
      <c r="L22" s="16" t="str">
        <f>'Occ T3'!A24</f>
        <v>Administrative and secretarial occupations</v>
      </c>
      <c r="M22" s="86">
        <f t="shared" ref="M22:P22" si="6">SUM(M23:M24)</f>
        <v>302.31768444219205</v>
      </c>
      <c r="N22" s="86">
        <f t="shared" si="6"/>
        <v>282.50354693650132</v>
      </c>
      <c r="O22" s="86">
        <f t="shared" si="6"/>
        <v>285.06488771558907</v>
      </c>
      <c r="P22" s="86">
        <f t="shared" si="6"/>
        <v>290.08423933169877</v>
      </c>
      <c r="Q22" s="86">
        <f>SUM(Q23:Q24)</f>
        <v>298.84561584502148</v>
      </c>
      <c r="R22" s="86">
        <f t="shared" ref="R22:AL22" si="7">SUM(R23:R24)</f>
        <v>290.22815410380076</v>
      </c>
      <c r="S22" s="86">
        <f t="shared" si="7"/>
        <v>279.44023403173441</v>
      </c>
      <c r="T22" s="86">
        <f t="shared" si="7"/>
        <v>291.55364902064787</v>
      </c>
      <c r="U22" s="86">
        <f t="shared" si="7"/>
        <v>288.18375661555035</v>
      </c>
      <c r="V22" s="86">
        <f t="shared" si="7"/>
        <v>283.27716834037346</v>
      </c>
      <c r="W22" s="86">
        <f t="shared" si="7"/>
        <v>294.34089992140406</v>
      </c>
      <c r="X22" s="86">
        <f t="shared" si="7"/>
        <v>284.98666845910003</v>
      </c>
      <c r="Y22" s="86">
        <f t="shared" si="7"/>
        <v>283.91580742098199</v>
      </c>
      <c r="Z22" s="86">
        <f t="shared" si="7"/>
        <v>283.0708723871482</v>
      </c>
      <c r="AA22" s="86">
        <f t="shared" si="7"/>
        <v>281.76979510453941</v>
      </c>
      <c r="AB22" s="86">
        <f t="shared" si="7"/>
        <v>279.53997272082472</v>
      </c>
      <c r="AC22" s="86">
        <f t="shared" si="7"/>
        <v>277.29991983797618</v>
      </c>
      <c r="AD22" s="86">
        <f t="shared" si="7"/>
        <v>275.44266423979633</v>
      </c>
      <c r="AE22" s="86">
        <f t="shared" si="7"/>
        <v>273.34211866615783</v>
      </c>
      <c r="AF22" s="86">
        <f t="shared" si="7"/>
        <v>271.05475940239592</v>
      </c>
      <c r="AG22" s="86">
        <f t="shared" si="7"/>
        <v>268.47733707259579</v>
      </c>
      <c r="AH22" s="86">
        <f t="shared" si="7"/>
        <v>266.17183299035088</v>
      </c>
      <c r="AI22" s="86">
        <f t="shared" si="7"/>
        <v>264.02176603323562</v>
      </c>
      <c r="AJ22" s="86">
        <f t="shared" si="7"/>
        <v>261.67671488112478</v>
      </c>
      <c r="AK22" s="86">
        <f t="shared" si="7"/>
        <v>259.89058497841921</v>
      </c>
      <c r="AL22" s="86">
        <f t="shared" si="7"/>
        <v>261.62983253168687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2">
      <c r="L23" s="232" t="str">
        <f>'Occ T3'!A25</f>
        <v>41 Administrative occupations</v>
      </c>
      <c r="M23" s="11">
        <v>228.58032257621102</v>
      </c>
      <c r="N23" s="11">
        <v>220.38305919066397</v>
      </c>
      <c r="O23" s="11">
        <v>223.8753001954702</v>
      </c>
      <c r="P23" s="11">
        <v>224.12424137765623</v>
      </c>
      <c r="Q23" s="11">
        <v>232.27493808414059</v>
      </c>
      <c r="R23" s="11">
        <v>230.65190493606553</v>
      </c>
      <c r="S23" s="11">
        <v>224.21886665052821</v>
      </c>
      <c r="T23" s="11">
        <v>233.15127563875612</v>
      </c>
      <c r="U23" s="11">
        <v>228.94193394850086</v>
      </c>
      <c r="V23" s="11">
        <v>227.98629979690097</v>
      </c>
      <c r="W23" s="11">
        <v>240.29715716047514</v>
      </c>
      <c r="X23" s="11">
        <v>223.96501041505496</v>
      </c>
      <c r="Y23" s="11">
        <v>223.67905558541463</v>
      </c>
      <c r="Z23" s="11">
        <v>223.63064882932557</v>
      </c>
      <c r="AA23" s="11">
        <v>223.30306989602832</v>
      </c>
      <c r="AB23" s="11">
        <v>222.21315201120595</v>
      </c>
      <c r="AC23" s="11">
        <v>220.86928924330687</v>
      </c>
      <c r="AD23" s="11">
        <v>219.48250339134063</v>
      </c>
      <c r="AE23" s="11">
        <v>218.26710662910901</v>
      </c>
      <c r="AF23" s="11">
        <v>216.96375468989891</v>
      </c>
      <c r="AG23" s="11">
        <v>215.74742199142804</v>
      </c>
      <c r="AH23" s="11">
        <v>214.61625039970528</v>
      </c>
      <c r="AI23" s="11">
        <v>213.6372838905497</v>
      </c>
      <c r="AJ23" s="11">
        <v>212.60376001023644</v>
      </c>
      <c r="AK23" s="11">
        <v>211.43409228035108</v>
      </c>
      <c r="AL23" s="11">
        <v>210.08774549657949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2">
      <c r="L24" s="232" t="str">
        <f>'Occ T3'!A26</f>
        <v>42 Secretarial and related occupations</v>
      </c>
      <c r="M24" s="11">
        <v>73.737361865981015</v>
      </c>
      <c r="N24" s="11">
        <v>62.120487745837337</v>
      </c>
      <c r="O24" s="11">
        <v>61.189587520118835</v>
      </c>
      <c r="P24" s="11">
        <v>65.959997954042507</v>
      </c>
      <c r="Q24" s="11">
        <v>66.570677760880926</v>
      </c>
      <c r="R24" s="11">
        <v>59.576249167735241</v>
      </c>
      <c r="S24" s="11">
        <v>55.221367381206214</v>
      </c>
      <c r="T24" s="11">
        <v>58.402373381891771</v>
      </c>
      <c r="U24" s="11">
        <v>59.241822667049483</v>
      </c>
      <c r="V24" s="11">
        <v>55.290868543472513</v>
      </c>
      <c r="W24" s="11">
        <v>54.043742760928943</v>
      </c>
      <c r="X24" s="11">
        <v>61.021658044045076</v>
      </c>
      <c r="Y24" s="11">
        <v>60.236751835567375</v>
      </c>
      <c r="Z24" s="11">
        <v>59.44022355782262</v>
      </c>
      <c r="AA24" s="11">
        <v>58.466725208511079</v>
      </c>
      <c r="AB24" s="11">
        <v>57.326820709618758</v>
      </c>
      <c r="AC24" s="11">
        <v>56.430630594669289</v>
      </c>
      <c r="AD24" s="11">
        <v>55.960160848455708</v>
      </c>
      <c r="AE24" s="11">
        <v>55.075012037048793</v>
      </c>
      <c r="AF24" s="11">
        <v>54.091004712496989</v>
      </c>
      <c r="AG24" s="11">
        <v>52.729915081167732</v>
      </c>
      <c r="AH24" s="11">
        <v>51.555582590645614</v>
      </c>
      <c r="AI24" s="11">
        <v>50.384482142685926</v>
      </c>
      <c r="AJ24" s="11">
        <v>49.072954870888353</v>
      </c>
      <c r="AK24" s="11">
        <v>48.456492698068132</v>
      </c>
      <c r="AL24" s="11">
        <v>51.542087035107386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2">
      <c r="L26" s="16" t="str">
        <f>'Occ T3'!A28</f>
        <v>Skilled trades occupations</v>
      </c>
      <c r="M26" s="86">
        <f t="shared" ref="M26:P26" si="8">SUM(M27:M30)</f>
        <v>312.02140188376978</v>
      </c>
      <c r="N26" s="86">
        <f t="shared" si="8"/>
        <v>317.27141542608376</v>
      </c>
      <c r="O26" s="86">
        <f t="shared" si="8"/>
        <v>305.5971507967642</v>
      </c>
      <c r="P26" s="86">
        <f t="shared" si="8"/>
        <v>310.05193244009268</v>
      </c>
      <c r="Q26" s="86">
        <f>SUM(Q27:Q30)</f>
        <v>328.55690392204531</v>
      </c>
      <c r="R26" s="86">
        <f t="shared" ref="R26:AL26" si="9">SUM(R27:R30)</f>
        <v>331.94362953220332</v>
      </c>
      <c r="S26" s="86">
        <f t="shared" si="9"/>
        <v>327.76472943294425</v>
      </c>
      <c r="T26" s="86">
        <f t="shared" si="9"/>
        <v>329.11688603190805</v>
      </c>
      <c r="U26" s="86">
        <f>SUM(U27:U30)</f>
        <v>324.27964913662771</v>
      </c>
      <c r="V26" s="86">
        <f t="shared" si="9"/>
        <v>330.38412255295623</v>
      </c>
      <c r="W26" s="86">
        <f t="shared" si="9"/>
        <v>298.01318493355501</v>
      </c>
      <c r="X26" s="86">
        <f t="shared" si="9"/>
        <v>302.05292983406702</v>
      </c>
      <c r="Y26" s="86">
        <f t="shared" si="9"/>
        <v>302.78620953115143</v>
      </c>
      <c r="Z26" s="86">
        <f t="shared" si="9"/>
        <v>305.3098701300957</v>
      </c>
      <c r="AA26" s="86">
        <f t="shared" si="9"/>
        <v>307.02283359299219</v>
      </c>
      <c r="AB26" s="86">
        <f t="shared" si="9"/>
        <v>307.18073602606728</v>
      </c>
      <c r="AC26" s="86">
        <f t="shared" si="9"/>
        <v>307.38201384653729</v>
      </c>
      <c r="AD26" s="86">
        <f t="shared" si="9"/>
        <v>307.43342329403379</v>
      </c>
      <c r="AE26" s="86">
        <f t="shared" si="9"/>
        <v>307.4355654455652</v>
      </c>
      <c r="AF26" s="86">
        <f t="shared" si="9"/>
        <v>307.41524988118039</v>
      </c>
      <c r="AG26" s="86">
        <f t="shared" si="9"/>
        <v>307.51002397241223</v>
      </c>
      <c r="AH26" s="86">
        <f t="shared" si="9"/>
        <v>307.54294350541062</v>
      </c>
      <c r="AI26" s="86">
        <f t="shared" si="9"/>
        <v>307.5288242486705</v>
      </c>
      <c r="AJ26" s="86">
        <f t="shared" si="9"/>
        <v>307.44035499061766</v>
      </c>
      <c r="AK26" s="86">
        <f t="shared" si="9"/>
        <v>307.29401162233995</v>
      </c>
      <c r="AL26" s="86">
        <f t="shared" si="9"/>
        <v>306.49084511758724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2">
      <c r="L27" s="232" t="str">
        <f>'Occ T3'!A29</f>
        <v>51 Skilled agricultural and related trades</v>
      </c>
      <c r="M27" s="11">
        <v>46.171649346049243</v>
      </c>
      <c r="N27" s="11">
        <v>42.504448265338567</v>
      </c>
      <c r="O27" s="11">
        <v>40.838718119287186</v>
      </c>
      <c r="P27" s="11">
        <v>39.433135582825656</v>
      </c>
      <c r="Q27" s="11">
        <v>43.42723941275662</v>
      </c>
      <c r="R27" s="11">
        <v>41.074614853304986</v>
      </c>
      <c r="S27" s="11">
        <v>44.055525964372471</v>
      </c>
      <c r="T27" s="11">
        <v>44.424674685754006</v>
      </c>
      <c r="U27" s="11">
        <v>44.668324691403946</v>
      </c>
      <c r="V27" s="11">
        <v>39.9365454081248</v>
      </c>
      <c r="W27" s="11">
        <v>43.38976416600206</v>
      </c>
      <c r="X27" s="11">
        <v>41.602091206412268</v>
      </c>
      <c r="Y27" s="11">
        <v>41.999674029819367</v>
      </c>
      <c r="Z27" s="11">
        <v>42.705989542218973</v>
      </c>
      <c r="AA27" s="11">
        <v>43.278176627107356</v>
      </c>
      <c r="AB27" s="11">
        <v>43.637142204273772</v>
      </c>
      <c r="AC27" s="11">
        <v>43.978058382904244</v>
      </c>
      <c r="AD27" s="11">
        <v>44.310229618867936</v>
      </c>
      <c r="AE27" s="11">
        <v>44.645299583904887</v>
      </c>
      <c r="AF27" s="11">
        <v>44.959583411266294</v>
      </c>
      <c r="AG27" s="11">
        <v>45.35317426101976</v>
      </c>
      <c r="AH27" s="11">
        <v>45.750259185744433</v>
      </c>
      <c r="AI27" s="11">
        <v>46.202894483507528</v>
      </c>
      <c r="AJ27" s="11">
        <v>46.658673804836084</v>
      </c>
      <c r="AK27" s="11">
        <v>47.096873732468097</v>
      </c>
      <c r="AL27" s="11">
        <v>47.518729761157019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2">
      <c r="L28" s="232" t="str">
        <f>'Occ T3'!A30</f>
        <v>52 Skilled metal, electrical and electronic trades</v>
      </c>
      <c r="M28" s="11">
        <v>104.23907361907936</v>
      </c>
      <c r="N28" s="11">
        <v>114.72987470281227</v>
      </c>
      <c r="O28" s="11">
        <v>103.07144261184719</v>
      </c>
      <c r="P28" s="11">
        <v>109.13200150838132</v>
      </c>
      <c r="Q28" s="11">
        <v>112.47669407128171</v>
      </c>
      <c r="R28" s="11">
        <v>119.78442551978591</v>
      </c>
      <c r="S28" s="11">
        <v>115.55321131579302</v>
      </c>
      <c r="T28" s="11">
        <v>110.19101666321549</v>
      </c>
      <c r="U28" s="11">
        <v>113.22516273419423</v>
      </c>
      <c r="V28" s="11">
        <v>117.51869225195854</v>
      </c>
      <c r="W28" s="11">
        <v>105.38577813988417</v>
      </c>
      <c r="X28" s="11">
        <v>105.39551088643789</v>
      </c>
      <c r="Y28" s="11">
        <v>105.05100512178063</v>
      </c>
      <c r="Z28" s="11">
        <v>105.10747192472462</v>
      </c>
      <c r="AA28" s="11">
        <v>105.01843048717548</v>
      </c>
      <c r="AB28" s="11">
        <v>104.59063274076206</v>
      </c>
      <c r="AC28" s="11">
        <v>104.25582279490844</v>
      </c>
      <c r="AD28" s="11">
        <v>103.92975032646945</v>
      </c>
      <c r="AE28" s="11">
        <v>103.59530763469779</v>
      </c>
      <c r="AF28" s="11">
        <v>103.28395898697562</v>
      </c>
      <c r="AG28" s="11">
        <v>102.99830223417283</v>
      </c>
      <c r="AH28" s="11">
        <v>102.69760848726494</v>
      </c>
      <c r="AI28" s="11">
        <v>102.3749565846921</v>
      </c>
      <c r="AJ28" s="11">
        <v>102.04369633200407</v>
      </c>
      <c r="AK28" s="11">
        <v>101.66697361451627</v>
      </c>
      <c r="AL28" s="11">
        <v>101.33738383927199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2">
      <c r="L29" s="232" t="str">
        <f>'Occ T3'!A31</f>
        <v>53 Skilled construction and building trades</v>
      </c>
      <c r="M29" s="11">
        <v>102.89811538740153</v>
      </c>
      <c r="N29" s="11">
        <v>103.30005185566088</v>
      </c>
      <c r="O29" s="11">
        <v>101.90152447876137</v>
      </c>
      <c r="P29" s="11">
        <v>103.13386471146858</v>
      </c>
      <c r="Q29" s="11">
        <v>110.64072300693242</v>
      </c>
      <c r="R29" s="11">
        <v>111.7064966465005</v>
      </c>
      <c r="S29" s="11">
        <v>107.23317214242351</v>
      </c>
      <c r="T29" s="11">
        <v>110.83174535637048</v>
      </c>
      <c r="U29" s="11">
        <v>104.62268566727066</v>
      </c>
      <c r="V29" s="11">
        <v>115.93625145857176</v>
      </c>
      <c r="W29" s="11">
        <v>93.794072482198729</v>
      </c>
      <c r="X29" s="11">
        <v>99.592901304306935</v>
      </c>
      <c r="Y29" s="11">
        <v>100.01289430166329</v>
      </c>
      <c r="Z29" s="11">
        <v>101.41262625597986</v>
      </c>
      <c r="AA29" s="11">
        <v>102.45709260677603</v>
      </c>
      <c r="AB29" s="11">
        <v>102.69428827818803</v>
      </c>
      <c r="AC29" s="11">
        <v>102.91244303016644</v>
      </c>
      <c r="AD29" s="11">
        <v>103.03697735777875</v>
      </c>
      <c r="AE29" s="11">
        <v>103.10890295363184</v>
      </c>
      <c r="AF29" s="11">
        <v>103.19145423555391</v>
      </c>
      <c r="AG29" s="11">
        <v>103.30121733364086</v>
      </c>
      <c r="AH29" s="11">
        <v>103.36604635719642</v>
      </c>
      <c r="AI29" s="11">
        <v>103.39417872770662</v>
      </c>
      <c r="AJ29" s="11">
        <v>103.39518728373713</v>
      </c>
      <c r="AK29" s="11">
        <v>103.37244195189896</v>
      </c>
      <c r="AL29" s="11">
        <v>103.36815417917676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2">
      <c r="L30" s="232" t="str">
        <f>'Occ T3'!A32</f>
        <v>54 Textiles, printing and other skilled trades</v>
      </c>
      <c r="M30" s="11">
        <v>58.71256353123966</v>
      </c>
      <c r="N30" s="11">
        <v>56.737040602272046</v>
      </c>
      <c r="O30" s="11">
        <v>59.785465586868419</v>
      </c>
      <c r="P30" s="11">
        <v>58.352930637417153</v>
      </c>
      <c r="Q30" s="11">
        <v>62.012247431074563</v>
      </c>
      <c r="R30" s="11">
        <v>59.378092512611914</v>
      </c>
      <c r="S30" s="11">
        <v>60.92282001035526</v>
      </c>
      <c r="T30" s="11">
        <v>63.669449326568028</v>
      </c>
      <c r="U30" s="11">
        <v>61.763476043758878</v>
      </c>
      <c r="V30" s="11">
        <v>56.992633434301148</v>
      </c>
      <c r="W30" s="11">
        <v>55.443570145470069</v>
      </c>
      <c r="X30" s="11">
        <v>55.462426436909901</v>
      </c>
      <c r="Y30" s="11">
        <v>55.722636077888104</v>
      </c>
      <c r="Z30" s="11">
        <v>56.083782407172279</v>
      </c>
      <c r="AA30" s="11">
        <v>56.269133871933306</v>
      </c>
      <c r="AB30" s="11">
        <v>56.258672802843392</v>
      </c>
      <c r="AC30" s="11">
        <v>56.235689638558128</v>
      </c>
      <c r="AD30" s="11">
        <v>56.156465990917653</v>
      </c>
      <c r="AE30" s="11">
        <v>56.086055273330629</v>
      </c>
      <c r="AF30" s="11">
        <v>55.98025324738456</v>
      </c>
      <c r="AG30" s="11">
        <v>55.857330143578793</v>
      </c>
      <c r="AH30" s="11">
        <v>55.729029475204818</v>
      </c>
      <c r="AI30" s="11">
        <v>55.556794452764223</v>
      </c>
      <c r="AJ30" s="11">
        <v>55.342797570040375</v>
      </c>
      <c r="AK30" s="11">
        <v>55.157722323456625</v>
      </c>
      <c r="AL30" s="11">
        <v>54.266577337981488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2">
      <c r="L32" s="16" t="str">
        <f>'Occ T3'!A34</f>
        <v>Caring, leisure and other service occupations</v>
      </c>
      <c r="M32" s="86">
        <f>SUM(M33:M35)</f>
        <v>277.51078634568927</v>
      </c>
      <c r="N32" s="86">
        <f t="shared" ref="N32:AL32" si="10">SUM(N33:N35)</f>
        <v>262.17509480616957</v>
      </c>
      <c r="O32" s="86">
        <f t="shared" si="10"/>
        <v>268.2312264315031</v>
      </c>
      <c r="P32" s="86">
        <f t="shared" si="10"/>
        <v>280.44673594495788</v>
      </c>
      <c r="Q32" s="86">
        <f t="shared" si="10"/>
        <v>294.04481506603787</v>
      </c>
      <c r="R32" s="86">
        <f t="shared" si="10"/>
        <v>290.07070785869405</v>
      </c>
      <c r="S32" s="86">
        <f t="shared" si="10"/>
        <v>289.90781936400111</v>
      </c>
      <c r="T32" s="86">
        <f t="shared" si="10"/>
        <v>287.99532765789468</v>
      </c>
      <c r="U32" s="86">
        <f t="shared" si="10"/>
        <v>289.900511348642</v>
      </c>
      <c r="V32" s="86">
        <f t="shared" si="10"/>
        <v>294.43876710187271</v>
      </c>
      <c r="W32" s="86">
        <f t="shared" si="10"/>
        <v>277.08533235276252</v>
      </c>
      <c r="X32" s="86">
        <f t="shared" si="10"/>
        <v>286.92436371668771</v>
      </c>
      <c r="Y32" s="86">
        <f t="shared" si="10"/>
        <v>291.37829685645818</v>
      </c>
      <c r="Z32" s="86">
        <f t="shared" si="10"/>
        <v>295.69946824570195</v>
      </c>
      <c r="AA32" s="86">
        <f t="shared" si="10"/>
        <v>299.89303127065591</v>
      </c>
      <c r="AB32" s="86">
        <f t="shared" si="10"/>
        <v>303.49396593889469</v>
      </c>
      <c r="AC32" s="86">
        <f t="shared" si="10"/>
        <v>306.76822969998943</v>
      </c>
      <c r="AD32" s="86">
        <f t="shared" si="10"/>
        <v>309.81583003821646</v>
      </c>
      <c r="AE32" s="86">
        <f t="shared" si="10"/>
        <v>313.21336426762167</v>
      </c>
      <c r="AF32" s="86">
        <f t="shared" si="10"/>
        <v>316.61715431466439</v>
      </c>
      <c r="AG32" s="86">
        <f t="shared" si="10"/>
        <v>320.13457267214761</v>
      </c>
      <c r="AH32" s="86">
        <f t="shared" si="10"/>
        <v>323.58525443313124</v>
      </c>
      <c r="AI32" s="86">
        <f t="shared" si="10"/>
        <v>326.72389979678292</v>
      </c>
      <c r="AJ32" s="86">
        <f t="shared" si="10"/>
        <v>329.93013877629102</v>
      </c>
      <c r="AK32" s="86">
        <f t="shared" si="10"/>
        <v>333.08286805934915</v>
      </c>
      <c r="AL32" s="86">
        <f t="shared" si="10"/>
        <v>336.06765480598972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2">
      <c r="L33" s="232" t="str">
        <f>'Occ T3'!A35</f>
        <v>61 Caring personal service occupations</v>
      </c>
      <c r="M33" s="11">
        <v>211.44599714519839</v>
      </c>
      <c r="N33" s="11">
        <v>196.17313942125685</v>
      </c>
      <c r="O33" s="11">
        <v>207.10140061551175</v>
      </c>
      <c r="P33" s="11">
        <v>214.18097472457038</v>
      </c>
      <c r="Q33" s="11">
        <v>223.09005066963371</v>
      </c>
      <c r="R33" s="11">
        <v>226.34981501818203</v>
      </c>
      <c r="S33" s="11">
        <v>225.29701574948396</v>
      </c>
      <c r="T33" s="11">
        <v>221.60029639692024</v>
      </c>
      <c r="U33" s="11">
        <v>220.83071067575617</v>
      </c>
      <c r="V33" s="11">
        <v>223.82371960747344</v>
      </c>
      <c r="W33" s="11">
        <v>213.74995100728043</v>
      </c>
      <c r="X33" s="11">
        <v>222.99397794968652</v>
      </c>
      <c r="Y33" s="11">
        <v>226.12123341176854</v>
      </c>
      <c r="Z33" s="11">
        <v>229.27860079418934</v>
      </c>
      <c r="AA33" s="11">
        <v>232.48318901982302</v>
      </c>
      <c r="AB33" s="11">
        <v>235.35687974236151</v>
      </c>
      <c r="AC33" s="11">
        <v>237.91490063007595</v>
      </c>
      <c r="AD33" s="11">
        <v>240.27092644723595</v>
      </c>
      <c r="AE33" s="11">
        <v>242.979624129641</v>
      </c>
      <c r="AF33" s="11">
        <v>245.70771003968076</v>
      </c>
      <c r="AG33" s="11">
        <v>248.51536995621203</v>
      </c>
      <c r="AH33" s="11">
        <v>251.26171194965056</v>
      </c>
      <c r="AI33" s="11">
        <v>253.69069666372235</v>
      </c>
      <c r="AJ33" s="11">
        <v>256.19560307093872</v>
      </c>
      <c r="AK33" s="11">
        <v>258.7447356837169</v>
      </c>
      <c r="AL33" s="11">
        <v>261.37055548425388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2">
      <c r="L34" s="232" t="str">
        <f>'Occ T3'!A36</f>
        <v>62 Leisure, travel and related personal service occupations</v>
      </c>
      <c r="M34" s="11">
        <v>62.502899652235463</v>
      </c>
      <c r="N34" s="11">
        <v>63.498478949951981</v>
      </c>
      <c r="O34" s="11">
        <v>58.744243632843379</v>
      </c>
      <c r="P34" s="11">
        <v>64.286749048130019</v>
      </c>
      <c r="Q34" s="11">
        <v>68.664783687502364</v>
      </c>
      <c r="R34" s="11">
        <v>61.407742014586113</v>
      </c>
      <c r="S34" s="11">
        <v>62.673468139171931</v>
      </c>
      <c r="T34" s="11">
        <v>64.262863017263939</v>
      </c>
      <c r="U34" s="11">
        <v>66.798737297586413</v>
      </c>
      <c r="V34" s="11">
        <v>68.70716383370474</v>
      </c>
      <c r="W34" s="11">
        <v>60.737895765777509</v>
      </c>
      <c r="X34" s="11">
        <v>62.022996605933677</v>
      </c>
      <c r="Y34" s="11">
        <v>63.321578581564104</v>
      </c>
      <c r="Z34" s="11">
        <v>64.458642632030134</v>
      </c>
      <c r="AA34" s="11">
        <v>65.42583550463236</v>
      </c>
      <c r="AB34" s="11">
        <v>66.143086174876487</v>
      </c>
      <c r="AC34" s="11">
        <v>66.848164613058941</v>
      </c>
      <c r="AD34" s="11">
        <v>67.529894725288813</v>
      </c>
      <c r="AE34" s="11">
        <v>68.206720485828569</v>
      </c>
      <c r="AF34" s="11">
        <v>68.873610943939909</v>
      </c>
      <c r="AG34" s="11">
        <v>69.570348636428335</v>
      </c>
      <c r="AH34" s="11">
        <v>70.262734893600182</v>
      </c>
      <c r="AI34" s="11">
        <v>70.958427962084087</v>
      </c>
      <c r="AJ34" s="11">
        <v>71.652151676032247</v>
      </c>
      <c r="AK34" s="11">
        <v>72.243413909801731</v>
      </c>
      <c r="AL34" s="11">
        <v>72.595305939625703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2">
      <c r="L35" s="232" t="str">
        <f>'Occ T3'!A37</f>
        <v>63 Community and civil enforcement occupations</v>
      </c>
      <c r="M35" s="11">
        <v>3.5618895482553876</v>
      </c>
      <c r="N35" s="11">
        <v>2.5034764349607577</v>
      </c>
      <c r="O35" s="11">
        <v>2.3855821831479762</v>
      </c>
      <c r="P35" s="11">
        <v>1.9790121722574492</v>
      </c>
      <c r="Q35" s="11">
        <v>2.2899807089018127</v>
      </c>
      <c r="R35" s="11">
        <v>2.3131508259259101</v>
      </c>
      <c r="S35" s="11">
        <v>1.9373354753452146</v>
      </c>
      <c r="T35" s="11">
        <v>2.132168243710491</v>
      </c>
      <c r="U35" s="11">
        <v>2.2710633752994207</v>
      </c>
      <c r="V35" s="11">
        <v>1.9078836606945633</v>
      </c>
      <c r="W35" s="11">
        <v>2.5974855797046024</v>
      </c>
      <c r="X35" s="11">
        <v>1.9073891610675024</v>
      </c>
      <c r="Y35" s="11">
        <v>1.9354848631255204</v>
      </c>
      <c r="Z35" s="11">
        <v>1.9622248194824803</v>
      </c>
      <c r="AA35" s="11">
        <v>1.9840067462005266</v>
      </c>
      <c r="AB35" s="11">
        <v>1.9940000216567171</v>
      </c>
      <c r="AC35" s="11">
        <v>2.005164456854581</v>
      </c>
      <c r="AD35" s="11">
        <v>2.0150088656916867</v>
      </c>
      <c r="AE35" s="11">
        <v>2.0270196521520845</v>
      </c>
      <c r="AF35" s="11">
        <v>2.0358333310437193</v>
      </c>
      <c r="AG35" s="11">
        <v>2.0488540795072638</v>
      </c>
      <c r="AH35" s="11">
        <v>2.060807589880469</v>
      </c>
      <c r="AI35" s="11">
        <v>2.0747751709764719</v>
      </c>
      <c r="AJ35" s="11">
        <v>2.0823840293200289</v>
      </c>
      <c r="AK35" s="11">
        <v>2.0947184658304883</v>
      </c>
      <c r="AL35" s="11">
        <v>2.1017933821101242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2">
      <c r="L37" s="16" t="str">
        <f>'Occ T3'!A39</f>
        <v>Sales and customer service occupations</v>
      </c>
      <c r="M37" s="86">
        <f t="shared" ref="M37:P37" si="11">SUM(M38:M39)</f>
        <v>243.19612278971437</v>
      </c>
      <c r="N37" s="86">
        <f t="shared" si="11"/>
        <v>249.98731917634257</v>
      </c>
      <c r="O37" s="86">
        <f t="shared" si="11"/>
        <v>261.71917761756509</v>
      </c>
      <c r="P37" s="86">
        <f t="shared" si="11"/>
        <v>258.81032167694866</v>
      </c>
      <c r="Q37" s="86">
        <f>SUM(Q38:Q39)</f>
        <v>256.25698481690449</v>
      </c>
      <c r="R37" s="86">
        <f t="shared" ref="R37:AL37" si="12">SUM(R38:R39)</f>
        <v>256.84031370282202</v>
      </c>
      <c r="S37" s="86">
        <f t="shared" si="12"/>
        <v>277.41612253002154</v>
      </c>
      <c r="T37" s="86">
        <f t="shared" si="12"/>
        <v>268.09195374091462</v>
      </c>
      <c r="U37" s="86">
        <f t="shared" si="12"/>
        <v>257.55688764589786</v>
      </c>
      <c r="V37" s="86">
        <f t="shared" si="12"/>
        <v>251.30591714714487</v>
      </c>
      <c r="W37" s="86">
        <f t="shared" si="12"/>
        <v>253.42954939024094</v>
      </c>
      <c r="X37" s="86">
        <f t="shared" si="12"/>
        <v>250.84597509052929</v>
      </c>
      <c r="Y37" s="86">
        <f t="shared" si="12"/>
        <v>251.94003812888906</v>
      </c>
      <c r="Z37" s="86">
        <f t="shared" si="12"/>
        <v>253.35884540508243</v>
      </c>
      <c r="AA37" s="86">
        <f t="shared" si="12"/>
        <v>254.68248005362949</v>
      </c>
      <c r="AB37" s="86">
        <f t="shared" si="12"/>
        <v>255.34052772626313</v>
      </c>
      <c r="AC37" s="86">
        <f t="shared" si="12"/>
        <v>255.70034230768985</v>
      </c>
      <c r="AD37" s="86">
        <f t="shared" si="12"/>
        <v>255.81117008578738</v>
      </c>
      <c r="AE37" s="86">
        <f t="shared" si="12"/>
        <v>255.80440078408174</v>
      </c>
      <c r="AF37" s="86">
        <f t="shared" si="12"/>
        <v>255.77795378327761</v>
      </c>
      <c r="AG37" s="86">
        <f t="shared" si="12"/>
        <v>255.75243607458737</v>
      </c>
      <c r="AH37" s="86">
        <f t="shared" si="12"/>
        <v>255.61473639555027</v>
      </c>
      <c r="AI37" s="86">
        <f t="shared" si="12"/>
        <v>255.46373936346998</v>
      </c>
      <c r="AJ37" s="86">
        <f t="shared" si="12"/>
        <v>255.19780262180683</v>
      </c>
      <c r="AK37" s="86">
        <f t="shared" si="12"/>
        <v>254.94441026673866</v>
      </c>
      <c r="AL37" s="86">
        <f t="shared" si="12"/>
        <v>254.44754524875714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2">
      <c r="L38" s="232" t="str">
        <f>'Occ T3'!A40</f>
        <v>71 Sales occupations</v>
      </c>
      <c r="M38" s="11">
        <v>202.59474038810905</v>
      </c>
      <c r="N38" s="11">
        <v>211.16569121977338</v>
      </c>
      <c r="O38" s="11">
        <v>222.83565274281676</v>
      </c>
      <c r="P38" s="11">
        <v>219.4707568821384</v>
      </c>
      <c r="Q38" s="11">
        <v>217.64673234443978</v>
      </c>
      <c r="R38" s="11">
        <v>215.33943518586108</v>
      </c>
      <c r="S38" s="11">
        <v>236.6976614280986</v>
      </c>
      <c r="T38" s="11">
        <v>222.93517266633071</v>
      </c>
      <c r="U38" s="11">
        <v>211.19975771494057</v>
      </c>
      <c r="V38" s="11">
        <v>205.67561264127193</v>
      </c>
      <c r="W38" s="11">
        <v>205.71646638462903</v>
      </c>
      <c r="X38" s="11">
        <v>193.42523296809335</v>
      </c>
      <c r="Y38" s="11">
        <v>193.48583719930059</v>
      </c>
      <c r="Z38" s="11">
        <v>193.67181248770663</v>
      </c>
      <c r="AA38" s="11">
        <v>193.84712683701238</v>
      </c>
      <c r="AB38" s="11">
        <v>193.54246535149821</v>
      </c>
      <c r="AC38" s="11">
        <v>193.00562046102584</v>
      </c>
      <c r="AD38" s="11">
        <v>192.2240291961844</v>
      </c>
      <c r="AE38" s="11">
        <v>191.33426591297942</v>
      </c>
      <c r="AF38" s="11">
        <v>190.40324518602148</v>
      </c>
      <c r="AG38" s="11">
        <v>189.42756759807494</v>
      </c>
      <c r="AH38" s="11">
        <v>188.34382390640195</v>
      </c>
      <c r="AI38" s="11">
        <v>187.26697801766673</v>
      </c>
      <c r="AJ38" s="11">
        <v>186.07078335017096</v>
      </c>
      <c r="AK38" s="11">
        <v>184.90052360261524</v>
      </c>
      <c r="AL38" s="11">
        <v>183.50111866544393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2">
      <c r="L39" s="232" t="str">
        <f>'Occ T3'!A41</f>
        <v>72 Customer service occupations</v>
      </c>
      <c r="M39" s="11">
        <v>40.601382401605328</v>
      </c>
      <c r="N39" s="11">
        <v>38.821627956569174</v>
      </c>
      <c r="O39" s="11">
        <v>38.883524874748311</v>
      </c>
      <c r="P39" s="11">
        <v>39.339564794810251</v>
      </c>
      <c r="Q39" s="11">
        <v>38.610252472464737</v>
      </c>
      <c r="R39" s="11">
        <v>41.500878516960952</v>
      </c>
      <c r="S39" s="11">
        <v>40.718461101922955</v>
      </c>
      <c r="T39" s="11">
        <v>45.156781074583911</v>
      </c>
      <c r="U39" s="11">
        <v>46.357129930957271</v>
      </c>
      <c r="V39" s="11">
        <v>45.630304505872942</v>
      </c>
      <c r="W39" s="11">
        <v>47.713083005611892</v>
      </c>
      <c r="X39" s="11">
        <v>57.420742122435946</v>
      </c>
      <c r="Y39" s="11">
        <v>58.454200929588453</v>
      </c>
      <c r="Z39" s="11">
        <v>59.687032917375788</v>
      </c>
      <c r="AA39" s="11">
        <v>60.835353216617108</v>
      </c>
      <c r="AB39" s="11">
        <v>61.798062374764939</v>
      </c>
      <c r="AC39" s="11">
        <v>62.694721846664017</v>
      </c>
      <c r="AD39" s="11">
        <v>63.587140889602971</v>
      </c>
      <c r="AE39" s="11">
        <v>64.470134871102317</v>
      </c>
      <c r="AF39" s="11">
        <v>65.374708597256117</v>
      </c>
      <c r="AG39" s="11">
        <v>66.324868476512435</v>
      </c>
      <c r="AH39" s="11">
        <v>67.270912489148316</v>
      </c>
      <c r="AI39" s="11">
        <v>68.196761345803253</v>
      </c>
      <c r="AJ39" s="11">
        <v>69.127019271635888</v>
      </c>
      <c r="AK39" s="11">
        <v>70.04388666412342</v>
      </c>
      <c r="AL39" s="11">
        <v>70.946426583313226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2">
      <c r="L41" s="16" t="str">
        <f>'Occ T3'!A43</f>
        <v>Process, plant and machine operatives</v>
      </c>
      <c r="M41" s="86">
        <f t="shared" ref="M41:P41" si="13">SUM(M42:M43)</f>
        <v>159.72382733579099</v>
      </c>
      <c r="N41" s="86">
        <f t="shared" si="13"/>
        <v>155.81260296514426</v>
      </c>
      <c r="O41" s="86">
        <f t="shared" si="13"/>
        <v>153.13538388984918</v>
      </c>
      <c r="P41" s="86">
        <f t="shared" si="13"/>
        <v>155.60808359601859</v>
      </c>
      <c r="Q41" s="86">
        <f>SUM(Q42:Q43)</f>
        <v>163.84000858896309</v>
      </c>
      <c r="R41" s="86">
        <f t="shared" ref="R41:AL41" si="14">SUM(R42:R43)</f>
        <v>159.49949243494439</v>
      </c>
      <c r="S41" s="86">
        <f t="shared" si="14"/>
        <v>164.59909780991481</v>
      </c>
      <c r="T41" s="86">
        <f t="shared" si="14"/>
        <v>163.81890537210953</v>
      </c>
      <c r="U41" s="86">
        <f t="shared" si="14"/>
        <v>172.26933777265586</v>
      </c>
      <c r="V41" s="86">
        <f t="shared" si="14"/>
        <v>162.35139992303468</v>
      </c>
      <c r="W41" s="86">
        <f t="shared" si="14"/>
        <v>144.73576200901678</v>
      </c>
      <c r="X41" s="86">
        <f t="shared" si="14"/>
        <v>162.00046790477592</v>
      </c>
      <c r="Y41" s="86">
        <f t="shared" si="14"/>
        <v>161.7153938951912</v>
      </c>
      <c r="Z41" s="86">
        <f t="shared" si="14"/>
        <v>162.56176217024915</v>
      </c>
      <c r="AA41" s="86">
        <f t="shared" si="14"/>
        <v>163.36406642895349</v>
      </c>
      <c r="AB41" s="86">
        <f t="shared" si="14"/>
        <v>163.64072742509563</v>
      </c>
      <c r="AC41" s="86">
        <f t="shared" si="14"/>
        <v>163.83218740466106</v>
      </c>
      <c r="AD41" s="86">
        <f t="shared" si="14"/>
        <v>163.94698898850345</v>
      </c>
      <c r="AE41" s="86">
        <f t="shared" si="14"/>
        <v>163.97146526783524</v>
      </c>
      <c r="AF41" s="86">
        <f t="shared" si="14"/>
        <v>163.99918456137246</v>
      </c>
      <c r="AG41" s="86">
        <f t="shared" si="14"/>
        <v>164.16329954483692</v>
      </c>
      <c r="AH41" s="86">
        <f t="shared" si="14"/>
        <v>164.29984267479523</v>
      </c>
      <c r="AI41" s="86">
        <f t="shared" si="14"/>
        <v>164.40258975356409</v>
      </c>
      <c r="AJ41" s="86">
        <f t="shared" si="14"/>
        <v>164.67671025037933</v>
      </c>
      <c r="AK41" s="86">
        <f t="shared" si="14"/>
        <v>164.98106673114796</v>
      </c>
      <c r="AL41" s="86">
        <f t="shared" si="14"/>
        <v>165.50577506208251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2">
      <c r="L42" s="232" t="str">
        <f>'Occ T3'!A44</f>
        <v>81 Process, plant and machine operatives</v>
      </c>
      <c r="M42" s="11">
        <v>72.171255744948596</v>
      </c>
      <c r="N42" s="11">
        <v>67.97416987310153</v>
      </c>
      <c r="O42" s="11">
        <v>71.134425216780514</v>
      </c>
      <c r="P42" s="11">
        <v>72.965009492521062</v>
      </c>
      <c r="Q42" s="11">
        <v>74.906939126155407</v>
      </c>
      <c r="R42" s="11">
        <v>73.880158585249745</v>
      </c>
      <c r="S42" s="11">
        <v>73.208807320276279</v>
      </c>
      <c r="T42" s="11">
        <v>75.441404041526539</v>
      </c>
      <c r="U42" s="11">
        <v>75.813885915997275</v>
      </c>
      <c r="V42" s="11">
        <v>71.020391017063901</v>
      </c>
      <c r="W42" s="11">
        <v>62.582118755619781</v>
      </c>
      <c r="X42" s="11">
        <v>75.178057672885231</v>
      </c>
      <c r="Y42" s="11">
        <v>75.114695271866196</v>
      </c>
      <c r="Z42" s="11">
        <v>75.467273610365993</v>
      </c>
      <c r="AA42" s="11">
        <v>75.737386613116186</v>
      </c>
      <c r="AB42" s="11">
        <v>75.783037685328537</v>
      </c>
      <c r="AC42" s="11">
        <v>75.738199855138404</v>
      </c>
      <c r="AD42" s="11">
        <v>75.682603148330827</v>
      </c>
      <c r="AE42" s="11">
        <v>75.496046563294186</v>
      </c>
      <c r="AF42" s="11">
        <v>75.302137181754006</v>
      </c>
      <c r="AG42" s="11">
        <v>75.188190786199726</v>
      </c>
      <c r="AH42" s="11">
        <v>75.061046996974639</v>
      </c>
      <c r="AI42" s="11">
        <v>74.930475338567632</v>
      </c>
      <c r="AJ42" s="11">
        <v>74.966278042474229</v>
      </c>
      <c r="AK42" s="11">
        <v>75.054424296861583</v>
      </c>
      <c r="AL42" s="11">
        <v>75.3654050728952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2">
      <c r="L43" s="232" t="str">
        <f>'Occ T3'!A45</f>
        <v>82 Transport and mobile machine drivers and operatives</v>
      </c>
      <c r="M43" s="11">
        <v>87.55257159084239</v>
      </c>
      <c r="N43" s="11">
        <v>87.83843309204272</v>
      </c>
      <c r="O43" s="11">
        <v>82.000958673068666</v>
      </c>
      <c r="P43" s="11">
        <v>82.643074103497526</v>
      </c>
      <c r="Q43" s="11">
        <v>88.933069462807666</v>
      </c>
      <c r="R43" s="11">
        <v>85.619333849694627</v>
      </c>
      <c r="S43" s="11">
        <v>91.390290489638531</v>
      </c>
      <c r="T43" s="11">
        <v>88.377501330582987</v>
      </c>
      <c r="U43" s="11">
        <v>96.455451856658584</v>
      </c>
      <c r="V43" s="11">
        <v>91.331008905970776</v>
      </c>
      <c r="W43" s="11">
        <v>82.153643253397007</v>
      </c>
      <c r="X43" s="11">
        <v>86.822410231890672</v>
      </c>
      <c r="Y43" s="11">
        <v>86.600698623324988</v>
      </c>
      <c r="Z43" s="11">
        <v>87.094488559883146</v>
      </c>
      <c r="AA43" s="11">
        <v>87.626679815837292</v>
      </c>
      <c r="AB43" s="11">
        <v>87.85768973976711</v>
      </c>
      <c r="AC43" s="11">
        <v>88.093987549522637</v>
      </c>
      <c r="AD43" s="11">
        <v>88.264385840172608</v>
      </c>
      <c r="AE43" s="11">
        <v>88.475418704541056</v>
      </c>
      <c r="AF43" s="11">
        <v>88.697047379618454</v>
      </c>
      <c r="AG43" s="11">
        <v>88.975108758637191</v>
      </c>
      <c r="AH43" s="11">
        <v>89.23879567782059</v>
      </c>
      <c r="AI43" s="11">
        <v>89.472114414996454</v>
      </c>
      <c r="AJ43" s="11">
        <v>89.7104322079051</v>
      </c>
      <c r="AK43" s="11">
        <v>89.926642434286379</v>
      </c>
      <c r="AL43" s="11">
        <v>90.140369989187306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2">
      <c r="L45" s="16" t="str">
        <f>'Occ T3'!A47</f>
        <v>Elementary occupations</v>
      </c>
      <c r="M45" s="86">
        <f t="shared" ref="M45:P45" si="15">SUM(M46:M47)</f>
        <v>333.4479966377632</v>
      </c>
      <c r="N45" s="86">
        <f t="shared" si="15"/>
        <v>308.44970867523716</v>
      </c>
      <c r="O45" s="86">
        <f t="shared" si="15"/>
        <v>314.38384833407224</v>
      </c>
      <c r="P45" s="86">
        <f t="shared" si="15"/>
        <v>307.01520062524975</v>
      </c>
      <c r="Q45" s="86">
        <f>SUM(Q46:Q47)</f>
        <v>325.67346829559324</v>
      </c>
      <c r="R45" s="86">
        <f t="shared" ref="R45:AL45" si="16">SUM(R46:R47)</f>
        <v>319.52762595538832</v>
      </c>
      <c r="S45" s="86">
        <f t="shared" si="16"/>
        <v>318.58523065604118</v>
      </c>
      <c r="T45" s="86">
        <f t="shared" si="16"/>
        <v>324.17549329875163</v>
      </c>
      <c r="U45" s="86">
        <f t="shared" si="16"/>
        <v>325.43349266048574</v>
      </c>
      <c r="V45" s="86">
        <f t="shared" si="16"/>
        <v>317.82248686107948</v>
      </c>
      <c r="W45" s="86">
        <f t="shared" si="16"/>
        <v>296.29705541503404</v>
      </c>
      <c r="X45" s="86">
        <f t="shared" si="16"/>
        <v>301.42383290458264</v>
      </c>
      <c r="Y45" s="86">
        <f t="shared" si="16"/>
        <v>302.62890348127075</v>
      </c>
      <c r="Z45" s="86">
        <f t="shared" si="16"/>
        <v>305.51491185762109</v>
      </c>
      <c r="AA45" s="86">
        <f t="shared" si="16"/>
        <v>306.91836308484608</v>
      </c>
      <c r="AB45" s="86">
        <f t="shared" si="16"/>
        <v>306.89225466411546</v>
      </c>
      <c r="AC45" s="86">
        <f t="shared" si="16"/>
        <v>306.80733021277001</v>
      </c>
      <c r="AD45" s="86">
        <f t="shared" si="16"/>
        <v>306.34351783864997</v>
      </c>
      <c r="AE45" s="86">
        <f t="shared" si="16"/>
        <v>305.54930381924805</v>
      </c>
      <c r="AF45" s="86">
        <f t="shared" si="16"/>
        <v>304.67613236223411</v>
      </c>
      <c r="AG45" s="86">
        <f t="shared" si="16"/>
        <v>304.29219427849762</v>
      </c>
      <c r="AH45" s="86">
        <f t="shared" si="16"/>
        <v>303.57439687961664</v>
      </c>
      <c r="AI45" s="86">
        <f t="shared" si="16"/>
        <v>302.68478539324298</v>
      </c>
      <c r="AJ45" s="86">
        <f t="shared" si="16"/>
        <v>301.7640688983505</v>
      </c>
      <c r="AK45" s="86">
        <f t="shared" si="16"/>
        <v>300.82409653369393</v>
      </c>
      <c r="AL45" s="86">
        <f t="shared" si="16"/>
        <v>299.85757506100578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2">
      <c r="L46" s="232" t="str">
        <f>'Occ T3'!A48</f>
        <v>91 Elementary trades and related occupations</v>
      </c>
      <c r="M46" s="11">
        <v>49.114210056248908</v>
      </c>
      <c r="N46" s="11">
        <v>47.125199005246756</v>
      </c>
      <c r="O46" s="11">
        <v>47.884647031334957</v>
      </c>
      <c r="P46" s="11">
        <v>45.401393134719932</v>
      </c>
      <c r="Q46" s="11">
        <v>51.914253678064696</v>
      </c>
      <c r="R46" s="11">
        <v>51.619419586461767</v>
      </c>
      <c r="S46" s="11">
        <v>51.368978549509315</v>
      </c>
      <c r="T46" s="11">
        <v>50.65162599199828</v>
      </c>
      <c r="U46" s="11">
        <v>49.580268456645861</v>
      </c>
      <c r="V46" s="11">
        <v>45.787577245667286</v>
      </c>
      <c r="W46" s="11">
        <v>41.169715797010497</v>
      </c>
      <c r="X46" s="11">
        <v>35.886512077962657</v>
      </c>
      <c r="Y46" s="11">
        <v>35.997267511713233</v>
      </c>
      <c r="Z46" s="11">
        <v>36.235136028340357</v>
      </c>
      <c r="AA46" s="11">
        <v>36.415558951661552</v>
      </c>
      <c r="AB46" s="11">
        <v>36.484962734682078</v>
      </c>
      <c r="AC46" s="11">
        <v>36.541177519593354</v>
      </c>
      <c r="AD46" s="11">
        <v>36.568143711718832</v>
      </c>
      <c r="AE46" s="11">
        <v>36.559069503862226</v>
      </c>
      <c r="AF46" s="11">
        <v>36.554182230476847</v>
      </c>
      <c r="AG46" s="11">
        <v>36.640563639054328</v>
      </c>
      <c r="AH46" s="11">
        <v>36.615569952439451</v>
      </c>
      <c r="AI46" s="11">
        <v>36.538943744224255</v>
      </c>
      <c r="AJ46" s="11">
        <v>36.452467598673373</v>
      </c>
      <c r="AK46" s="11">
        <v>36.347245106790865</v>
      </c>
      <c r="AL46" s="11">
        <v>36.262160530619973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2">
      <c r="L47" s="232" t="str">
        <f>'Occ T3'!A49</f>
        <v>92 Elementary administration and service occupations</v>
      </c>
      <c r="M47" s="11">
        <v>284.33378658151429</v>
      </c>
      <c r="N47" s="11">
        <v>261.32450966999039</v>
      </c>
      <c r="O47" s="11">
        <v>266.49920130273728</v>
      </c>
      <c r="P47" s="11">
        <v>261.61380749052984</v>
      </c>
      <c r="Q47" s="11">
        <v>273.75921461752853</v>
      </c>
      <c r="R47" s="11">
        <v>267.90820636892653</v>
      </c>
      <c r="S47" s="11">
        <v>267.21625210653184</v>
      </c>
      <c r="T47" s="11">
        <v>273.52386730675335</v>
      </c>
      <c r="U47" s="11">
        <v>275.85322420383989</v>
      </c>
      <c r="V47" s="11">
        <v>272.03490961541218</v>
      </c>
      <c r="W47" s="11">
        <v>255.12733961802351</v>
      </c>
      <c r="X47" s="11">
        <v>265.53732082661998</v>
      </c>
      <c r="Y47" s="11">
        <v>266.63163596955752</v>
      </c>
      <c r="Z47" s="11">
        <v>269.27977582928071</v>
      </c>
      <c r="AA47" s="11">
        <v>270.50280413318455</v>
      </c>
      <c r="AB47" s="11">
        <v>270.40729192943337</v>
      </c>
      <c r="AC47" s="11">
        <v>270.26615269317665</v>
      </c>
      <c r="AD47" s="11">
        <v>269.77537412693113</v>
      </c>
      <c r="AE47" s="11">
        <v>268.99023431538581</v>
      </c>
      <c r="AF47" s="11">
        <v>268.12195013175727</v>
      </c>
      <c r="AG47" s="11">
        <v>267.65163063944328</v>
      </c>
      <c r="AH47" s="11">
        <v>266.9588269271772</v>
      </c>
      <c r="AI47" s="11">
        <v>266.14584164901873</v>
      </c>
      <c r="AJ47" s="11">
        <v>265.31160129967714</v>
      </c>
      <c r="AK47" s="11">
        <v>264.47685142690307</v>
      </c>
      <c r="AL47" s="11">
        <v>263.59541453038582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2">
      <c r="L49" s="16" t="str">
        <f>'Occ T3'!A51</f>
        <v>All occupations</v>
      </c>
      <c r="M49" s="86">
        <f>SUM(M5,M9,M15,M22,M26,M32,M37,M41,M45)</f>
        <v>2674.719000001418</v>
      </c>
      <c r="N49" s="86">
        <f t="shared" ref="N49:P49" si="17">SUM(N5,N9,N15,N22,N26,N32,N37,N41,N45)</f>
        <v>2659.8520000005342</v>
      </c>
      <c r="O49" s="86">
        <f t="shared" si="17"/>
        <v>2671.8160000018324</v>
      </c>
      <c r="P49" s="86">
        <f t="shared" si="17"/>
        <v>2717.6120000003029</v>
      </c>
      <c r="Q49" s="86">
        <f>SUM(Q5,Q9,Q15,Q22,Q26,Q32,Q37,Q41,Q45)</f>
        <v>2823.3819999979041</v>
      </c>
      <c r="R49" s="86">
        <f t="shared" ref="R49:AL49" si="18">SUM(R5,R9,R15,R22,R26,R32,R37,R41,R45)</f>
        <v>2817.8519999971131</v>
      </c>
      <c r="S49" s="86">
        <f t="shared" si="18"/>
        <v>2861.4899999988284</v>
      </c>
      <c r="T49" s="86">
        <f t="shared" si="18"/>
        <v>2900.1459999989688</v>
      </c>
      <c r="U49" s="86">
        <f t="shared" si="18"/>
        <v>2935.2119999998667</v>
      </c>
      <c r="V49" s="86">
        <f t="shared" si="18"/>
        <v>2962.1069999996516</v>
      </c>
      <c r="W49" s="86">
        <f t="shared" si="18"/>
        <v>2929.5869999964643</v>
      </c>
      <c r="X49" s="86">
        <f t="shared" si="18"/>
        <v>2946.4319999982226</v>
      </c>
      <c r="Y49" s="86">
        <f t="shared" si="18"/>
        <v>2973.9249999947419</v>
      </c>
      <c r="Z49" s="86">
        <f t="shared" si="18"/>
        <v>3008.1619999939039</v>
      </c>
      <c r="AA49" s="86">
        <f t="shared" si="18"/>
        <v>3038.2909999936833</v>
      </c>
      <c r="AB49" s="86">
        <f t="shared" si="18"/>
        <v>3058.6549999943331</v>
      </c>
      <c r="AC49" s="86">
        <f t="shared" si="18"/>
        <v>3077.5069999945085</v>
      </c>
      <c r="AD49" s="86">
        <f t="shared" si="18"/>
        <v>3095.0959999952966</v>
      </c>
      <c r="AE49" s="86">
        <f t="shared" si="18"/>
        <v>3112.6009999939656</v>
      </c>
      <c r="AF49" s="86">
        <f t="shared" si="18"/>
        <v>3129.9759999949183</v>
      </c>
      <c r="AG49" s="86">
        <f t="shared" si="18"/>
        <v>3148.5929999946757</v>
      </c>
      <c r="AH49" s="86">
        <f t="shared" si="18"/>
        <v>3166.8619999947223</v>
      </c>
      <c r="AI49" s="86">
        <f t="shared" si="18"/>
        <v>3185.1419999944978</v>
      </c>
      <c r="AJ49" s="86">
        <f t="shared" si="18"/>
        <v>3203.5419999948203</v>
      </c>
      <c r="AK49" s="86">
        <f t="shared" si="18"/>
        <v>3221.810999992716</v>
      </c>
      <c r="AL49" s="86">
        <f t="shared" si="18"/>
        <v>3240.0929999972918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2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2">
      <c r="L52" s="16" t="str">
        <f>'Occ T3'!A7</f>
        <v>Managers, directors and senior officials</v>
      </c>
      <c r="M52" s="336">
        <f>M5/M$49</f>
        <v>8.5682096613774669E-2</v>
      </c>
      <c r="N52" s="336">
        <f t="shared" ref="N52:AG52" si="20">N5/N$49</f>
        <v>9.6035128356883645E-2</v>
      </c>
      <c r="O52" s="336">
        <f t="shared" si="20"/>
        <v>9.5255030583499836E-2</v>
      </c>
      <c r="P52" s="336">
        <f t="shared" si="20"/>
        <v>9.8192305937495283E-2</v>
      </c>
      <c r="Q52" s="336">
        <f t="shared" si="20"/>
        <v>0.10040095221147233</v>
      </c>
      <c r="R52" s="336">
        <f t="shared" si="20"/>
        <v>9.9976137980683569E-2</v>
      </c>
      <c r="S52" s="336">
        <f t="shared" si="20"/>
        <v>0.10046086732143887</v>
      </c>
      <c r="T52" s="336">
        <f t="shared" si="20"/>
        <v>0.10713049721966383</v>
      </c>
      <c r="U52" s="336">
        <f t="shared" si="20"/>
        <v>0.10759984908179543</v>
      </c>
      <c r="V52" s="336">
        <f t="shared" si="20"/>
        <v>0.11076947080844839</v>
      </c>
      <c r="W52" s="336">
        <f t="shared" si="20"/>
        <v>0.11492120154591098</v>
      </c>
      <c r="X52" s="336">
        <f t="shared" si="20"/>
        <v>0.11139054521255073</v>
      </c>
      <c r="Y52" s="336">
        <f t="shared" si="20"/>
        <v>0.11222641688950089</v>
      </c>
      <c r="Z52" s="336">
        <f t="shared" si="20"/>
        <v>0.11309030619586791</v>
      </c>
      <c r="AA52" s="336">
        <f t="shared" si="20"/>
        <v>0.1139350972886555</v>
      </c>
      <c r="AB52" s="336">
        <f t="shared" si="20"/>
        <v>0.11475677095242227</v>
      </c>
      <c r="AC52" s="336">
        <f t="shared" si="20"/>
        <v>0.11553287251712761</v>
      </c>
      <c r="AD52" s="336">
        <f t="shared" si="20"/>
        <v>0.11628109147131289</v>
      </c>
      <c r="AE52" s="336">
        <f t="shared" si="20"/>
        <v>0.11705895776815842</v>
      </c>
      <c r="AF52" s="336">
        <f t="shared" si="20"/>
        <v>0.11783769461583118</v>
      </c>
      <c r="AG52" s="336">
        <f t="shared" si="20"/>
        <v>0.11862579621292418</v>
      </c>
      <c r="AH52" s="336">
        <f t="shared" ref="AH52:AL52" si="21">AH5/AH$49</f>
        <v>0.1194353049997094</v>
      </c>
      <c r="AI52" s="336">
        <f t="shared" si="21"/>
        <v>0.12021033372425642</v>
      </c>
      <c r="AJ52" s="336">
        <f t="shared" si="21"/>
        <v>0.12100182477187078</v>
      </c>
      <c r="AK52" s="336">
        <f t="shared" si="21"/>
        <v>0.12165413611145651</v>
      </c>
      <c r="AL52" s="336">
        <f t="shared" si="21"/>
        <v>0.12164747404233571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2">
      <c r="L53" s="232" t="str">
        <f>'Occ T3'!A8</f>
        <v>11 Corporate managers and directors</v>
      </c>
      <c r="M53" s="335">
        <f t="shared" ref="M53:AG53" si="22">M6/M$49</f>
        <v>5.4628662480412794E-2</v>
      </c>
      <c r="N53" s="335">
        <f t="shared" si="22"/>
        <v>6.0569849363687644E-2</v>
      </c>
      <c r="O53" s="335">
        <f t="shared" si="22"/>
        <v>6.146572551070844E-2</v>
      </c>
      <c r="P53" s="335">
        <f t="shared" si="22"/>
        <v>6.2753267388335504E-2</v>
      </c>
      <c r="Q53" s="335">
        <f t="shared" si="22"/>
        <v>5.96596614346592E-2</v>
      </c>
      <c r="R53" s="335">
        <f t="shared" si="22"/>
        <v>6.3270797980697541E-2</v>
      </c>
      <c r="S53" s="335">
        <f t="shared" si="22"/>
        <v>6.6115931636182818E-2</v>
      </c>
      <c r="T53" s="335">
        <f t="shared" si="22"/>
        <v>6.8466517533855714E-2</v>
      </c>
      <c r="U53" s="335">
        <f t="shared" si="22"/>
        <v>6.919865151425357E-2</v>
      </c>
      <c r="V53" s="335">
        <f t="shared" si="22"/>
        <v>7.2110036186597254E-2</v>
      </c>
      <c r="W53" s="335">
        <f t="shared" si="22"/>
        <v>7.524069720617127E-2</v>
      </c>
      <c r="X53" s="335">
        <f t="shared" si="22"/>
        <v>6.6573551327796007E-2</v>
      </c>
      <c r="Y53" s="335">
        <f t="shared" si="22"/>
        <v>6.6807072996972056E-2</v>
      </c>
      <c r="Z53" s="335">
        <f t="shared" si="22"/>
        <v>6.7036383459706639E-2</v>
      </c>
      <c r="AA53" s="335">
        <f t="shared" si="22"/>
        <v>6.7323982372171604E-2</v>
      </c>
      <c r="AB53" s="335">
        <f t="shared" si="22"/>
        <v>6.763822968297506E-2</v>
      </c>
      <c r="AC53" s="335">
        <f t="shared" si="22"/>
        <v>6.7920487598740101E-2</v>
      </c>
      <c r="AD53" s="335">
        <f t="shared" si="22"/>
        <v>6.8195466909216032E-2</v>
      </c>
      <c r="AE53" s="335">
        <f t="shared" si="22"/>
        <v>6.8474266754856877E-2</v>
      </c>
      <c r="AF53" s="335">
        <f t="shared" si="22"/>
        <v>6.8762154187380076E-2</v>
      </c>
      <c r="AG53" s="335">
        <f t="shared" si="22"/>
        <v>6.9061419468062213E-2</v>
      </c>
      <c r="AH53" s="335">
        <f t="shared" ref="AH53:AL53" si="23">AH6/AH$49</f>
        <v>6.9379529394197031E-2</v>
      </c>
      <c r="AI53" s="335">
        <f t="shared" si="23"/>
        <v>6.9704104566578412E-2</v>
      </c>
      <c r="AJ53" s="335">
        <f t="shared" si="23"/>
        <v>7.0060077686198236E-2</v>
      </c>
      <c r="AK53" s="335">
        <f t="shared" si="23"/>
        <v>7.0331752455845928E-2</v>
      </c>
      <c r="AL53" s="335">
        <f t="shared" si="23"/>
        <v>7.0554121699180891E-2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2">
      <c r="L54" s="232" t="str">
        <f>'Occ T3'!A9</f>
        <v>12 Other managers and proprietors</v>
      </c>
      <c r="M54" s="335">
        <f t="shared" ref="M54:AG54" si="24">M7/M$49</f>
        <v>3.1053434133361861E-2</v>
      </c>
      <c r="N54" s="335">
        <f t="shared" si="24"/>
        <v>3.5465278993195994E-2</v>
      </c>
      <c r="O54" s="335">
        <f t="shared" si="24"/>
        <v>3.378930507279139E-2</v>
      </c>
      <c r="P54" s="335">
        <f t="shared" si="24"/>
        <v>3.5439038549159779E-2</v>
      </c>
      <c r="Q54" s="335">
        <f t="shared" si="24"/>
        <v>4.0741290776813141E-2</v>
      </c>
      <c r="R54" s="335">
        <f t="shared" si="24"/>
        <v>3.6705339999986021E-2</v>
      </c>
      <c r="S54" s="335">
        <f t="shared" si="24"/>
        <v>3.434493568525606E-2</v>
      </c>
      <c r="T54" s="335">
        <f t="shared" si="24"/>
        <v>3.8663979685808113E-2</v>
      </c>
      <c r="U54" s="335">
        <f t="shared" si="24"/>
        <v>3.8401197567541838E-2</v>
      </c>
      <c r="V54" s="335">
        <f t="shared" si="24"/>
        <v>3.8659434621851139E-2</v>
      </c>
      <c r="W54" s="335">
        <f t="shared" si="24"/>
        <v>3.9680504339739693E-2</v>
      </c>
      <c r="X54" s="335">
        <f t="shared" si="24"/>
        <v>4.4816993884754713E-2</v>
      </c>
      <c r="Y54" s="335">
        <f t="shared" si="24"/>
        <v>4.5419343892528843E-2</v>
      </c>
      <c r="Z54" s="335">
        <f t="shared" si="24"/>
        <v>4.6053922736161261E-2</v>
      </c>
      <c r="AA54" s="335">
        <f t="shared" si="24"/>
        <v>4.6611114916483898E-2</v>
      </c>
      <c r="AB54" s="335">
        <f t="shared" si="24"/>
        <v>4.7118541269447214E-2</v>
      </c>
      <c r="AC54" s="335">
        <f t="shared" si="24"/>
        <v>4.7612384918387506E-2</v>
      </c>
      <c r="AD54" s="335">
        <f t="shared" si="24"/>
        <v>4.8085624562096863E-2</v>
      </c>
      <c r="AE54" s="335">
        <f t="shared" si="24"/>
        <v>4.8584691013301547E-2</v>
      </c>
      <c r="AF54" s="335">
        <f t="shared" si="24"/>
        <v>4.9075540428451116E-2</v>
      </c>
      <c r="AG54" s="335">
        <f t="shared" si="24"/>
        <v>4.9564376744861964E-2</v>
      </c>
      <c r="AH54" s="335">
        <f t="shared" ref="AH54:AL54" si="25">AH7/AH$49</f>
        <v>5.0055775605512373E-2</v>
      </c>
      <c r="AI54" s="335">
        <f t="shared" si="25"/>
        <v>5.0506229157678002E-2</v>
      </c>
      <c r="AJ54" s="335">
        <f t="shared" si="25"/>
        <v>5.0941747085672541E-2</v>
      </c>
      <c r="AK54" s="335">
        <f t="shared" si="25"/>
        <v>5.1322383655610572E-2</v>
      </c>
      <c r="AL54" s="335">
        <f t="shared" si="25"/>
        <v>5.1093352343154819E-2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2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2">
      <c r="L56" s="16" t="str">
        <f>'Occ T3'!A11</f>
        <v>Professional occupations</v>
      </c>
      <c r="M56" s="336">
        <f t="shared" ref="M56:AG56" si="26">M9/M$49</f>
        <v>0.19264277153157411</v>
      </c>
      <c r="N56" s="336">
        <f t="shared" si="26"/>
        <v>0.19475850417596882</v>
      </c>
      <c r="O56" s="336">
        <f t="shared" si="26"/>
        <v>0.19343718040643013</v>
      </c>
      <c r="P56" s="336">
        <f t="shared" si="26"/>
        <v>0.19643812204520009</v>
      </c>
      <c r="Q56" s="336">
        <f t="shared" si="26"/>
        <v>0.19279920588198124</v>
      </c>
      <c r="R56" s="336">
        <f t="shared" si="26"/>
        <v>0.19725068265533408</v>
      </c>
      <c r="S56" s="336">
        <f t="shared" si="26"/>
        <v>0.20223731189873684</v>
      </c>
      <c r="T56" s="336">
        <f t="shared" si="26"/>
        <v>0.19964478941688746</v>
      </c>
      <c r="U56" s="336">
        <f t="shared" si="26"/>
        <v>0.20528545367730525</v>
      </c>
      <c r="V56" s="336">
        <f t="shared" si="26"/>
        <v>0.21358756476579085</v>
      </c>
      <c r="W56" s="336">
        <f t="shared" si="26"/>
        <v>0.22298850231785577</v>
      </c>
      <c r="X56" s="336">
        <f t="shared" si="26"/>
        <v>0.22859570673733767</v>
      </c>
      <c r="Y56" s="336">
        <f t="shared" si="26"/>
        <v>0.22995227778923835</v>
      </c>
      <c r="Z56" s="336">
        <f t="shared" si="26"/>
        <v>0.23105371447286494</v>
      </c>
      <c r="AA56" s="336">
        <f t="shared" si="26"/>
        <v>0.23244026893892766</v>
      </c>
      <c r="AB56" s="336">
        <f t="shared" si="26"/>
        <v>0.23397074666338027</v>
      </c>
      <c r="AC56" s="336">
        <f t="shared" si="26"/>
        <v>0.23551173661658426</v>
      </c>
      <c r="AD56" s="336">
        <f t="shared" si="26"/>
        <v>0.23706358613241083</v>
      </c>
      <c r="AE56" s="336">
        <f t="shared" si="26"/>
        <v>0.23868421973310994</v>
      </c>
      <c r="AF56" s="336">
        <f t="shared" si="26"/>
        <v>0.24033228331659526</v>
      </c>
      <c r="AG56" s="336">
        <f t="shared" si="26"/>
        <v>0.24194028097922879</v>
      </c>
      <c r="AH56" s="336">
        <f t="shared" ref="AH56:AL56" si="27">AH9/AH$49</f>
        <v>0.24351523640549755</v>
      </c>
      <c r="AI56" s="336">
        <f t="shared" si="27"/>
        <v>0.24515040663669699</v>
      </c>
      <c r="AJ56" s="336">
        <f t="shared" si="27"/>
        <v>0.24686427506946182</v>
      </c>
      <c r="AK56" s="336">
        <f t="shared" si="27"/>
        <v>0.24851817579259039</v>
      </c>
      <c r="AL56" s="336">
        <f t="shared" si="27"/>
        <v>0.25009632436707446</v>
      </c>
    </row>
    <row r="57" spans="1:57" x14ac:dyDescent="0.2">
      <c r="L57" s="232" t="str">
        <f>'Occ T3'!A12</f>
        <v>21 Science, research, engineering and technology professionals</v>
      </c>
      <c r="M57" s="335">
        <f t="shared" ref="M57:AG57" si="28">M10/M$49</f>
        <v>4.9853760299679376E-2</v>
      </c>
      <c r="N57" s="335">
        <f t="shared" si="28"/>
        <v>4.9564114779384758E-2</v>
      </c>
      <c r="O57" s="335">
        <f t="shared" si="28"/>
        <v>4.9178000059161606E-2</v>
      </c>
      <c r="P57" s="335">
        <f t="shared" si="28"/>
        <v>4.8238039249221716E-2</v>
      </c>
      <c r="Q57" s="335">
        <f t="shared" si="28"/>
        <v>4.9242429276240361E-2</v>
      </c>
      <c r="R57" s="335">
        <f t="shared" si="28"/>
        <v>5.2291915804525579E-2</v>
      </c>
      <c r="S57" s="335">
        <f t="shared" si="28"/>
        <v>5.3766517402036251E-2</v>
      </c>
      <c r="T57" s="335">
        <f t="shared" si="28"/>
        <v>5.2416030047137796E-2</v>
      </c>
      <c r="U57" s="335">
        <f t="shared" si="28"/>
        <v>5.6100644518635341E-2</v>
      </c>
      <c r="V57" s="335">
        <f t="shared" si="28"/>
        <v>5.7171507692469994E-2</v>
      </c>
      <c r="W57" s="335">
        <f t="shared" si="28"/>
        <v>5.9663615521948189E-2</v>
      </c>
      <c r="X57" s="335">
        <f t="shared" si="28"/>
        <v>5.9753842509587533E-2</v>
      </c>
      <c r="Y57" s="335">
        <f t="shared" si="28"/>
        <v>6.0046793394807813E-2</v>
      </c>
      <c r="Z57" s="335">
        <f t="shared" si="28"/>
        <v>6.0334339056942625E-2</v>
      </c>
      <c r="AA57" s="335">
        <f t="shared" si="28"/>
        <v>6.065494025419494E-2</v>
      </c>
      <c r="AB57" s="335">
        <f t="shared" si="28"/>
        <v>6.0988444246365417E-2</v>
      </c>
      <c r="AC57" s="335">
        <f t="shared" si="28"/>
        <v>6.1327001238035077E-2</v>
      </c>
      <c r="AD57" s="335">
        <f t="shared" si="28"/>
        <v>6.1671335508610925E-2</v>
      </c>
      <c r="AE57" s="335">
        <f t="shared" si="28"/>
        <v>6.2035566468174964E-2</v>
      </c>
      <c r="AF57" s="335">
        <f t="shared" si="28"/>
        <v>6.2407943066384433E-2</v>
      </c>
      <c r="AG57" s="335">
        <f t="shared" si="28"/>
        <v>6.2789230010272146E-2</v>
      </c>
      <c r="AH57" s="335">
        <f t="shared" ref="AH57:AL57" si="29">AH10/AH$49</f>
        <v>6.3163457590849306E-2</v>
      </c>
      <c r="AI57" s="335">
        <f t="shared" si="29"/>
        <v>6.355003955385978E-2</v>
      </c>
      <c r="AJ57" s="335">
        <f t="shared" si="29"/>
        <v>6.3938017460917193E-2</v>
      </c>
      <c r="AK57" s="335">
        <f t="shared" si="29"/>
        <v>6.4300587901009412E-2</v>
      </c>
      <c r="AL57" s="335">
        <f t="shared" si="29"/>
        <v>6.467159981750982E-2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2">
      <c r="L58" s="232" t="str">
        <f>'Occ T3'!A13</f>
        <v>22 Health professionals</v>
      </c>
      <c r="M58" s="335">
        <f t="shared" ref="M58:AG58" si="30">M11/M$49</f>
        <v>3.7147270798176014E-2</v>
      </c>
      <c r="N58" s="335">
        <f t="shared" si="30"/>
        <v>4.0045667311757453E-2</v>
      </c>
      <c r="O58" s="335">
        <f t="shared" si="30"/>
        <v>4.1697671246655008E-2</v>
      </c>
      <c r="P58" s="335">
        <f t="shared" si="30"/>
        <v>4.3770048488631828E-2</v>
      </c>
      <c r="Q58" s="335">
        <f t="shared" si="30"/>
        <v>4.317157266099008E-2</v>
      </c>
      <c r="R58" s="335">
        <f t="shared" si="30"/>
        <v>4.3701481186543094E-2</v>
      </c>
      <c r="S58" s="335">
        <f t="shared" si="30"/>
        <v>4.2667715140100516E-2</v>
      </c>
      <c r="T58" s="335">
        <f t="shared" si="30"/>
        <v>4.484584267097904E-2</v>
      </c>
      <c r="U58" s="335">
        <f t="shared" si="30"/>
        <v>4.4746965092612057E-2</v>
      </c>
      <c r="V58" s="335">
        <f t="shared" si="30"/>
        <v>4.6357880947321399E-2</v>
      </c>
      <c r="W58" s="335">
        <f t="shared" si="30"/>
        <v>4.6445756254133636E-2</v>
      </c>
      <c r="X58" s="335">
        <f t="shared" si="30"/>
        <v>4.8162723151014449E-2</v>
      </c>
      <c r="Y58" s="335">
        <f t="shared" si="30"/>
        <v>4.8565495009214497E-2</v>
      </c>
      <c r="Z58" s="335">
        <f t="shared" si="30"/>
        <v>4.8861302663911609E-2</v>
      </c>
      <c r="AA58" s="335">
        <f t="shared" si="30"/>
        <v>4.9251295364210509E-2</v>
      </c>
      <c r="AB58" s="335">
        <f t="shared" si="30"/>
        <v>4.9700133003923327E-2</v>
      </c>
      <c r="AC58" s="335">
        <f t="shared" si="30"/>
        <v>5.0137403219610251E-2</v>
      </c>
      <c r="AD58" s="335">
        <f t="shared" si="30"/>
        <v>5.0570529818970963E-2</v>
      </c>
      <c r="AE58" s="335">
        <f t="shared" si="30"/>
        <v>5.106558964175955E-2</v>
      </c>
      <c r="AF58" s="335">
        <f t="shared" si="30"/>
        <v>5.153393904592337E-2</v>
      </c>
      <c r="AG58" s="335">
        <f t="shared" si="30"/>
        <v>5.1998158559510274E-2</v>
      </c>
      <c r="AH58" s="335">
        <f t="shared" ref="AH58:AL58" si="31">AH11/AH$49</f>
        <v>5.2454304014894239E-2</v>
      </c>
      <c r="AI58" s="335">
        <f t="shared" si="31"/>
        <v>5.2911378283261645E-2</v>
      </c>
      <c r="AJ58" s="335">
        <f t="shared" si="31"/>
        <v>5.3401766277872006E-2</v>
      </c>
      <c r="AK58" s="335">
        <f t="shared" si="31"/>
        <v>5.387905777138078E-2</v>
      </c>
      <c r="AL58" s="335">
        <f t="shared" si="31"/>
        <v>5.430774761989058E-2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75" x14ac:dyDescent="0.25">
      <c r="A59" s="79" t="str">
        <f>CONCATENATE("Occupation Figure 2.1  Employment by Occupation (% shares), ",$M$2,"-",$O$2,", ",Info!B5)</f>
        <v>Occupation Figure 2.1  Employment by Occupation (% shares), 2010-2035, South West</v>
      </c>
      <c r="L59" s="232" t="str">
        <f>'Occ T3'!A14</f>
        <v>23 Teaching and other educational professionals</v>
      </c>
      <c r="M59" s="335">
        <f t="shared" ref="M59:AG59" si="32">M12/M$49</f>
        <v>4.9608318209428168E-2</v>
      </c>
      <c r="N59" s="335">
        <f t="shared" si="32"/>
        <v>5.1192923428108918E-2</v>
      </c>
      <c r="O59" s="335">
        <f t="shared" si="32"/>
        <v>5.097886998796311E-2</v>
      </c>
      <c r="P59" s="335">
        <f t="shared" si="32"/>
        <v>4.997138189327277E-2</v>
      </c>
      <c r="Q59" s="335">
        <f t="shared" si="32"/>
        <v>4.6157150813471652E-2</v>
      </c>
      <c r="R59" s="335">
        <f t="shared" si="32"/>
        <v>4.6830275268737086E-2</v>
      </c>
      <c r="S59" s="335">
        <f t="shared" si="32"/>
        <v>5.0771052781870996E-2</v>
      </c>
      <c r="T59" s="335">
        <f t="shared" si="32"/>
        <v>4.8105447759740919E-2</v>
      </c>
      <c r="U59" s="335">
        <f t="shared" si="32"/>
        <v>4.725166670644345E-2</v>
      </c>
      <c r="V59" s="335">
        <f t="shared" si="32"/>
        <v>4.9319727289824658E-2</v>
      </c>
      <c r="W59" s="335">
        <f t="shared" si="32"/>
        <v>5.0234516111721868E-2</v>
      </c>
      <c r="X59" s="335">
        <f t="shared" si="32"/>
        <v>5.0317240280040948E-2</v>
      </c>
      <c r="Y59" s="335">
        <f t="shared" si="32"/>
        <v>5.0435818575507774E-2</v>
      </c>
      <c r="Z59" s="335">
        <f t="shared" si="32"/>
        <v>5.0503702262268815E-2</v>
      </c>
      <c r="AA59" s="335">
        <f t="shared" si="32"/>
        <v>5.06750169317675E-2</v>
      </c>
      <c r="AB59" s="335">
        <f t="shared" si="32"/>
        <v>5.0897052223970514E-2</v>
      </c>
      <c r="AC59" s="335">
        <f t="shared" si="32"/>
        <v>5.1124990994338967E-2</v>
      </c>
      <c r="AD59" s="335">
        <f t="shared" si="32"/>
        <v>5.1361497137914033E-2</v>
      </c>
      <c r="AE59" s="335">
        <f t="shared" si="32"/>
        <v>5.1599109686148392E-2</v>
      </c>
      <c r="AF59" s="335">
        <f t="shared" si="32"/>
        <v>5.1858817374520853E-2</v>
      </c>
      <c r="AG59" s="335">
        <f t="shared" si="32"/>
        <v>5.2076889309390251E-2</v>
      </c>
      <c r="AH59" s="335">
        <f t="shared" ref="AH59:AL59" si="33">AH12/AH$49</f>
        <v>5.2299651434709278E-2</v>
      </c>
      <c r="AI59" s="335">
        <f t="shared" si="33"/>
        <v>5.2522594972820219E-2</v>
      </c>
      <c r="AJ59" s="335">
        <f t="shared" si="33"/>
        <v>5.2755451865620175E-2</v>
      </c>
      <c r="AK59" s="335">
        <f t="shared" si="33"/>
        <v>5.3012422787398004E-2</v>
      </c>
      <c r="AL59" s="335">
        <f t="shared" si="33"/>
        <v>5.3255165129905434E-2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2">
      <c r="L60" s="232" t="str">
        <f>'Occ T3'!A15</f>
        <v>24 Business, media and public service professionals</v>
      </c>
      <c r="M60" s="335">
        <f t="shared" ref="M60:AG60" si="34">M13/M$49</f>
        <v>5.6033422224290572E-2</v>
      </c>
      <c r="N60" s="335">
        <f t="shared" si="34"/>
        <v>5.3955798656717707E-2</v>
      </c>
      <c r="O60" s="335">
        <f t="shared" si="34"/>
        <v>5.1582639112650416E-2</v>
      </c>
      <c r="P60" s="335">
        <f t="shared" si="34"/>
        <v>5.4458652414073778E-2</v>
      </c>
      <c r="Q60" s="335">
        <f t="shared" si="34"/>
        <v>5.4228053131279173E-2</v>
      </c>
      <c r="R60" s="335">
        <f t="shared" si="34"/>
        <v>5.4427010395528302E-2</v>
      </c>
      <c r="S60" s="335">
        <f t="shared" si="34"/>
        <v>5.5032026574729033E-2</v>
      </c>
      <c r="T60" s="335">
        <f t="shared" si="34"/>
        <v>5.4277468939029683E-2</v>
      </c>
      <c r="U60" s="335">
        <f t="shared" si="34"/>
        <v>5.7186177359614405E-2</v>
      </c>
      <c r="V60" s="335">
        <f t="shared" si="34"/>
        <v>6.0738448836174838E-2</v>
      </c>
      <c r="W60" s="335">
        <f t="shared" si="34"/>
        <v>6.6644614430052082E-2</v>
      </c>
      <c r="X60" s="335">
        <f t="shared" si="34"/>
        <v>7.0361900796694757E-2</v>
      </c>
      <c r="Y60" s="335">
        <f t="shared" si="34"/>
        <v>7.0904170809708303E-2</v>
      </c>
      <c r="Z60" s="335">
        <f t="shared" si="34"/>
        <v>7.1354370489741886E-2</v>
      </c>
      <c r="AA60" s="335">
        <f t="shared" si="34"/>
        <v>7.1859016388754735E-2</v>
      </c>
      <c r="AB60" s="335">
        <f t="shared" si="34"/>
        <v>7.2385117189120995E-2</v>
      </c>
      <c r="AC60" s="335">
        <f t="shared" si="34"/>
        <v>7.2922341164599974E-2</v>
      </c>
      <c r="AD60" s="335">
        <f t="shared" si="34"/>
        <v>7.3460223666914903E-2</v>
      </c>
      <c r="AE60" s="335">
        <f t="shared" si="34"/>
        <v>7.3983953937027044E-2</v>
      </c>
      <c r="AF60" s="335">
        <f t="shared" si="34"/>
        <v>7.4531583829766615E-2</v>
      </c>
      <c r="AG60" s="335">
        <f t="shared" si="34"/>
        <v>7.5076003100056118E-2</v>
      </c>
      <c r="AH60" s="335">
        <f t="shared" ref="AH60:AL60" si="35">AH13/AH$49</f>
        <v>7.5597823365044739E-2</v>
      </c>
      <c r="AI60" s="335">
        <f t="shared" si="35"/>
        <v>7.6166393826755344E-2</v>
      </c>
      <c r="AJ60" s="335">
        <f t="shared" si="35"/>
        <v>7.6769039465052452E-2</v>
      </c>
      <c r="AK60" s="335">
        <f t="shared" si="35"/>
        <v>7.7326107332802235E-2</v>
      </c>
      <c r="AL60" s="335">
        <f t="shared" si="35"/>
        <v>7.7861811799768615E-2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2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2">
      <c r="L62" s="16" t="str">
        <f>'Occ T3'!A17</f>
        <v>Associate professional occupations</v>
      </c>
      <c r="M62" s="336">
        <f t="shared" ref="M62:AG62" si="36">M15/M$49</f>
        <v>0.11293162667371191</v>
      </c>
      <c r="N62" s="336">
        <f t="shared" si="36"/>
        <v>0.11661712265760087</v>
      </c>
      <c r="O62" s="336">
        <f t="shared" si="36"/>
        <v>0.11690620043351618</v>
      </c>
      <c r="P62" s="336">
        <f t="shared" si="36"/>
        <v>0.11587537136806254</v>
      </c>
      <c r="Q62" s="336">
        <f t="shared" si="36"/>
        <v>0.11629604308095251</v>
      </c>
      <c r="R62" s="336">
        <f t="shared" si="36"/>
        <v>0.11789153065086984</v>
      </c>
      <c r="S62" s="336">
        <f t="shared" si="36"/>
        <v>0.11798362158103756</v>
      </c>
      <c r="T62" s="336">
        <f t="shared" si="36"/>
        <v>0.11920112450867464</v>
      </c>
      <c r="U62" s="336">
        <f t="shared" si="36"/>
        <v>0.12237741925895625</v>
      </c>
      <c r="V62" s="336">
        <f t="shared" si="36"/>
        <v>0.12212485656312985</v>
      </c>
      <c r="W62" s="336">
        <f t="shared" si="36"/>
        <v>0.12826017468092202</v>
      </c>
      <c r="X62" s="336">
        <f t="shared" si="36"/>
        <v>0.12097730060767925</v>
      </c>
      <c r="Y62" s="336">
        <f t="shared" si="36"/>
        <v>0.1217066927077075</v>
      </c>
      <c r="Z62" s="336">
        <f t="shared" si="36"/>
        <v>0.12213614303283915</v>
      </c>
      <c r="AA62" s="336">
        <f t="shared" si="36"/>
        <v>0.12251995369438244</v>
      </c>
      <c r="AB62" s="336">
        <f t="shared" si="36"/>
        <v>0.12290684961284691</v>
      </c>
      <c r="AC62" s="336">
        <f t="shared" si="36"/>
        <v>0.12327339459056544</v>
      </c>
      <c r="AD62" s="336">
        <f t="shared" si="36"/>
        <v>0.12363645820355082</v>
      </c>
      <c r="AE62" s="336">
        <f t="shared" si="36"/>
        <v>0.12401146555974416</v>
      </c>
      <c r="AF62" s="336">
        <f t="shared" si="36"/>
        <v>0.12440099567639536</v>
      </c>
      <c r="AG62" s="336">
        <f t="shared" si="36"/>
        <v>0.1248136261808085</v>
      </c>
      <c r="AH62" s="336">
        <f t="shared" ref="AH62:AL62" si="37">AH15/AH$49</f>
        <v>0.12525292092388868</v>
      </c>
      <c r="AI62" s="336">
        <f t="shared" si="37"/>
        <v>0.12576850769399492</v>
      </c>
      <c r="AJ62" s="336">
        <f t="shared" si="37"/>
        <v>0.12622956351466813</v>
      </c>
      <c r="AK62" s="336">
        <f t="shared" si="37"/>
        <v>0.12668922398513049</v>
      </c>
      <c r="AL62" s="336">
        <f t="shared" si="37"/>
        <v>0.12703625888262851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2">
      <c r="L63" s="232" t="str">
        <f>'Occ T3'!A18</f>
        <v>31 Science, engineering and technology associate professionals</v>
      </c>
      <c r="M63" s="335">
        <f t="shared" ref="M63:AG63" si="38">M16/M$49</f>
        <v>1.6899829033469302E-2</v>
      </c>
      <c r="N63" s="335">
        <f t="shared" si="38"/>
        <v>1.6659872168922136E-2</v>
      </c>
      <c r="O63" s="335">
        <f t="shared" si="38"/>
        <v>1.6720820787064109E-2</v>
      </c>
      <c r="P63" s="335">
        <f t="shared" si="38"/>
        <v>1.6808932431993481E-2</v>
      </c>
      <c r="Q63" s="335">
        <f t="shared" si="38"/>
        <v>1.5121619163113349E-2</v>
      </c>
      <c r="R63" s="335">
        <f t="shared" si="38"/>
        <v>1.5613022096788444E-2</v>
      </c>
      <c r="S63" s="335">
        <f t="shared" si="38"/>
        <v>1.596760422210845E-2</v>
      </c>
      <c r="T63" s="335">
        <f t="shared" si="38"/>
        <v>1.7788961393193806E-2</v>
      </c>
      <c r="U63" s="335">
        <f t="shared" si="38"/>
        <v>1.800323411751345E-2</v>
      </c>
      <c r="V63" s="335">
        <f t="shared" si="38"/>
        <v>1.7664595469696637E-2</v>
      </c>
      <c r="W63" s="335">
        <f t="shared" si="38"/>
        <v>1.9534167381686573E-2</v>
      </c>
      <c r="X63" s="335">
        <f t="shared" si="38"/>
        <v>1.6568145964610936E-2</v>
      </c>
      <c r="Y63" s="335">
        <f t="shared" si="38"/>
        <v>1.6579641526806663E-2</v>
      </c>
      <c r="Z63" s="335">
        <f t="shared" si="38"/>
        <v>1.6589912740146668E-2</v>
      </c>
      <c r="AA63" s="335">
        <f t="shared" si="38"/>
        <v>1.6615640468549887E-2</v>
      </c>
      <c r="AB63" s="335">
        <f t="shared" si="38"/>
        <v>1.663711015949712E-2</v>
      </c>
      <c r="AC63" s="335">
        <f t="shared" si="38"/>
        <v>1.6656688021043978E-2</v>
      </c>
      <c r="AD63" s="335">
        <f t="shared" si="38"/>
        <v>1.66839082360675E-2</v>
      </c>
      <c r="AE63" s="335">
        <f t="shared" si="38"/>
        <v>1.66997548208737E-2</v>
      </c>
      <c r="AF63" s="335">
        <f t="shared" si="38"/>
        <v>1.6704155761848773E-2</v>
      </c>
      <c r="AG63" s="335">
        <f t="shared" si="38"/>
        <v>1.6709062018912469E-2</v>
      </c>
      <c r="AH63" s="335">
        <f t="shared" ref="AH63:AL63" si="39">AH16/AH$49</f>
        <v>1.6738932240714426E-2</v>
      </c>
      <c r="AI63" s="335">
        <f t="shared" si="39"/>
        <v>1.6782325410378211E-2</v>
      </c>
      <c r="AJ63" s="335">
        <f t="shared" si="39"/>
        <v>1.6818364909265117E-2</v>
      </c>
      <c r="AK63" s="335">
        <f t="shared" si="39"/>
        <v>1.6852415853374162E-2</v>
      </c>
      <c r="AL63" s="335">
        <f t="shared" si="39"/>
        <v>1.6880698438220498E-2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2">
      <c r="L64" s="232" t="str">
        <f>'Occ T3'!A19</f>
        <v>32 Health and social care associate professionals</v>
      </c>
      <c r="M64" s="335">
        <f t="shared" ref="M64:AG64" si="40">M17/M$49</f>
        <v>1.5245265526217182E-2</v>
      </c>
      <c r="N64" s="335">
        <f t="shared" si="40"/>
        <v>1.8638248394560745E-2</v>
      </c>
      <c r="O64" s="335">
        <f t="shared" si="40"/>
        <v>1.9064715771363407E-2</v>
      </c>
      <c r="P64" s="335">
        <f t="shared" si="40"/>
        <v>1.9146531139939287E-2</v>
      </c>
      <c r="Q64" s="335">
        <f t="shared" si="40"/>
        <v>1.88185806694771E-2</v>
      </c>
      <c r="R64" s="335">
        <f t="shared" si="40"/>
        <v>1.9413137606781958E-2</v>
      </c>
      <c r="S64" s="335">
        <f t="shared" si="40"/>
        <v>1.8565079897219661E-2</v>
      </c>
      <c r="T64" s="335">
        <f t="shared" si="40"/>
        <v>1.8210499056299685E-2</v>
      </c>
      <c r="U64" s="335">
        <f t="shared" si="40"/>
        <v>1.9946271247863367E-2</v>
      </c>
      <c r="V64" s="335">
        <f t="shared" si="40"/>
        <v>1.9730065568290656E-2</v>
      </c>
      <c r="W64" s="335">
        <f t="shared" si="40"/>
        <v>2.0102219432877728E-2</v>
      </c>
      <c r="X64" s="335">
        <f t="shared" si="40"/>
        <v>1.9582972426782901E-2</v>
      </c>
      <c r="Y64" s="335">
        <f t="shared" si="40"/>
        <v>1.972116830187012E-2</v>
      </c>
      <c r="Z64" s="335">
        <f t="shared" si="40"/>
        <v>1.9822232785232409E-2</v>
      </c>
      <c r="AA64" s="335">
        <f t="shared" si="40"/>
        <v>1.9959925147509775E-2</v>
      </c>
      <c r="AB64" s="335">
        <f t="shared" si="40"/>
        <v>2.0121838931368291E-2</v>
      </c>
      <c r="AC64" s="335">
        <f t="shared" si="40"/>
        <v>2.0277043090784708E-2</v>
      </c>
      <c r="AD64" s="335">
        <f t="shared" si="40"/>
        <v>2.0427622996180159E-2</v>
      </c>
      <c r="AE64" s="335">
        <f t="shared" si="40"/>
        <v>2.0589513226658716E-2</v>
      </c>
      <c r="AF64" s="335">
        <f t="shared" si="40"/>
        <v>2.0754967255750024E-2</v>
      </c>
      <c r="AG64" s="335">
        <f t="shared" si="40"/>
        <v>2.0922581261512033E-2</v>
      </c>
      <c r="AH64" s="335">
        <f t="shared" ref="AH64:AL64" si="41">AH17/AH$49</f>
        <v>2.1088018192224268E-2</v>
      </c>
      <c r="AI64" s="335">
        <f t="shared" si="41"/>
        <v>2.1245258265745099E-2</v>
      </c>
      <c r="AJ64" s="335">
        <f t="shared" si="41"/>
        <v>2.1401362808962879E-2</v>
      </c>
      <c r="AK64" s="335">
        <f t="shared" si="41"/>
        <v>2.1557405754468118E-2</v>
      </c>
      <c r="AL64" s="335">
        <f t="shared" si="41"/>
        <v>2.1714809266781737E-2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2">
      <c r="L65" s="232" t="str">
        <f>'Occ T3'!A20</f>
        <v>33 Protective service occupations</v>
      </c>
      <c r="M65" s="335">
        <f t="shared" ref="M65:AG65" si="42">M18/M$49</f>
        <v>6.9174809347075572E-3</v>
      </c>
      <c r="N65" s="335">
        <f t="shared" si="42"/>
        <v>8.0645367753160949E-3</v>
      </c>
      <c r="O65" s="335">
        <f t="shared" si="42"/>
        <v>7.8228833429651382E-3</v>
      </c>
      <c r="P65" s="335">
        <f t="shared" si="42"/>
        <v>6.8628988375912213E-3</v>
      </c>
      <c r="Q65" s="335">
        <f t="shared" si="42"/>
        <v>6.6314148074469916E-3</v>
      </c>
      <c r="R65" s="335">
        <f t="shared" si="42"/>
        <v>6.7137865141165152E-3</v>
      </c>
      <c r="S65" s="335">
        <f t="shared" si="42"/>
        <v>7.4254924834983894E-3</v>
      </c>
      <c r="T65" s="335">
        <f t="shared" si="42"/>
        <v>7.1215302245467241E-3</v>
      </c>
      <c r="U65" s="335">
        <f t="shared" si="42"/>
        <v>6.9664493614094419E-3</v>
      </c>
      <c r="V65" s="335">
        <f t="shared" si="42"/>
        <v>6.6360318561098641E-3</v>
      </c>
      <c r="W65" s="335">
        <f t="shared" si="42"/>
        <v>7.2355692985089752E-3</v>
      </c>
      <c r="X65" s="335">
        <f t="shared" si="42"/>
        <v>8.1305464241115608E-3</v>
      </c>
      <c r="Y65" s="335">
        <f t="shared" si="42"/>
        <v>8.2518973131151009E-3</v>
      </c>
      <c r="Z65" s="335">
        <f t="shared" si="42"/>
        <v>8.3338456569568616E-3</v>
      </c>
      <c r="AA65" s="335">
        <f t="shared" si="42"/>
        <v>8.421442508662242E-3</v>
      </c>
      <c r="AB65" s="335">
        <f t="shared" si="42"/>
        <v>8.4901180443952388E-3</v>
      </c>
      <c r="AC65" s="335">
        <f t="shared" si="42"/>
        <v>8.5644597460183755E-3</v>
      </c>
      <c r="AD65" s="335">
        <f t="shared" si="42"/>
        <v>8.6352421633925248E-3</v>
      </c>
      <c r="AE65" s="335">
        <f t="shared" si="42"/>
        <v>8.7101761985869473E-3</v>
      </c>
      <c r="AF65" s="335">
        <f t="shared" si="42"/>
        <v>8.7836537108987884E-3</v>
      </c>
      <c r="AG65" s="335">
        <f t="shared" si="42"/>
        <v>8.8754014213444313E-3</v>
      </c>
      <c r="AH65" s="335">
        <f t="shared" ref="AH65:AL65" si="43">AH18/AH$49</f>
        <v>8.9629107331477952E-3</v>
      </c>
      <c r="AI65" s="335">
        <f t="shared" si="43"/>
        <v>9.05791195162217E-3</v>
      </c>
      <c r="AJ65" s="335">
        <f t="shared" si="43"/>
        <v>9.1165823881245375E-3</v>
      </c>
      <c r="AK65" s="335">
        <f t="shared" si="43"/>
        <v>9.1947641937306802E-3</v>
      </c>
      <c r="AL65" s="335">
        <f t="shared" si="43"/>
        <v>9.2470575217101E-3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2">
      <c r="L66" s="232" t="str">
        <f>'Occ T3'!A21</f>
        <v>34 Culture, media and sports occupations</v>
      </c>
      <c r="M66" s="335">
        <f t="shared" ref="M66:AG66" si="44">M19/M$49</f>
        <v>1.605928556951508E-2</v>
      </c>
      <c r="N66" s="335">
        <f t="shared" si="44"/>
        <v>1.9958103747847809E-2</v>
      </c>
      <c r="O66" s="335">
        <f t="shared" si="44"/>
        <v>1.9062788645880759E-2</v>
      </c>
      <c r="P66" s="335">
        <f t="shared" si="44"/>
        <v>1.8149707198230818E-2</v>
      </c>
      <c r="Q66" s="335">
        <f t="shared" si="44"/>
        <v>1.9615891292947343E-2</v>
      </c>
      <c r="R66" s="335">
        <f t="shared" si="44"/>
        <v>2.0452983244130529E-2</v>
      </c>
      <c r="S66" s="335">
        <f t="shared" si="44"/>
        <v>2.0566185473578354E-2</v>
      </c>
      <c r="T66" s="335">
        <f t="shared" si="44"/>
        <v>1.9496203209181266E-2</v>
      </c>
      <c r="U66" s="335">
        <f t="shared" si="44"/>
        <v>2.116814972350466E-2</v>
      </c>
      <c r="V66" s="335">
        <f t="shared" si="44"/>
        <v>2.1147907012153685E-2</v>
      </c>
      <c r="W66" s="335">
        <f t="shared" si="44"/>
        <v>2.1227375877842101E-2</v>
      </c>
      <c r="X66" s="335">
        <f t="shared" si="44"/>
        <v>2.0170335556744221E-2</v>
      </c>
      <c r="Y66" s="335">
        <f t="shared" si="44"/>
        <v>2.0701445174681119E-2</v>
      </c>
      <c r="Z66" s="335">
        <f t="shared" si="44"/>
        <v>2.10221949178576E-2</v>
      </c>
      <c r="AA66" s="335">
        <f t="shared" si="44"/>
        <v>2.1204925946196069E-2</v>
      </c>
      <c r="AB66" s="335">
        <f t="shared" si="44"/>
        <v>2.1380669331237404E-2</v>
      </c>
      <c r="AC66" s="335">
        <f t="shared" si="44"/>
        <v>2.1554489234687994E-2</v>
      </c>
      <c r="AD66" s="335">
        <f t="shared" si="44"/>
        <v>2.1733505939783206E-2</v>
      </c>
      <c r="AE66" s="335">
        <f t="shared" si="44"/>
        <v>2.1911412346454755E-2</v>
      </c>
      <c r="AF66" s="335">
        <f t="shared" si="44"/>
        <v>2.2096716393899912E-2</v>
      </c>
      <c r="AG66" s="335">
        <f t="shared" si="44"/>
        <v>2.2280043926732364E-2</v>
      </c>
      <c r="AH66" s="335">
        <f t="shared" ref="AH66:AL66" si="45">AH19/AH$49</f>
        <v>2.2463667409875408E-2</v>
      </c>
      <c r="AI66" s="335">
        <f t="shared" si="45"/>
        <v>2.2725504683223815E-2</v>
      </c>
      <c r="AJ66" s="335">
        <f t="shared" si="45"/>
        <v>2.2987515958171559E-2</v>
      </c>
      <c r="AK66" s="335">
        <f t="shared" si="45"/>
        <v>2.3227675558198345E-2</v>
      </c>
      <c r="AL66" s="335">
        <f t="shared" si="45"/>
        <v>2.3413230423782651E-2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2">
      <c r="L67" s="232" t="str">
        <f>'Occ T3'!A22</f>
        <v>35 Business and public service associate professionals</v>
      </c>
      <c r="M67" s="335">
        <f t="shared" ref="M67:AG67" si="46">M20/M$49</f>
        <v>5.7809765609802791E-2</v>
      </c>
      <c r="N67" s="335">
        <f t="shared" si="46"/>
        <v>5.3296361570954083E-2</v>
      </c>
      <c r="O67" s="335">
        <f t="shared" si="46"/>
        <v>5.4234991886242756E-2</v>
      </c>
      <c r="P67" s="335">
        <f t="shared" si="46"/>
        <v>5.4907301760307725E-2</v>
      </c>
      <c r="Q67" s="335">
        <f t="shared" si="46"/>
        <v>5.6108537147967721E-2</v>
      </c>
      <c r="R67" s="335">
        <f t="shared" si="46"/>
        <v>5.5698601189052392E-2</v>
      </c>
      <c r="S67" s="335">
        <f t="shared" si="46"/>
        <v>5.5459259504632707E-2</v>
      </c>
      <c r="T67" s="335">
        <f t="shared" si="46"/>
        <v>5.6583930625453152E-2</v>
      </c>
      <c r="U67" s="335">
        <f t="shared" si="46"/>
        <v>5.6293314808665333E-2</v>
      </c>
      <c r="V67" s="335">
        <f t="shared" si="46"/>
        <v>5.6946256656879024E-2</v>
      </c>
      <c r="W67" s="335">
        <f t="shared" si="46"/>
        <v>6.0160842690006648E-2</v>
      </c>
      <c r="X67" s="335">
        <f t="shared" si="46"/>
        <v>5.6525300235429635E-2</v>
      </c>
      <c r="Y67" s="335">
        <f t="shared" si="46"/>
        <v>5.6452540391234471E-2</v>
      </c>
      <c r="Z67" s="335">
        <f t="shared" si="46"/>
        <v>5.6367956932645631E-2</v>
      </c>
      <c r="AA67" s="335">
        <f t="shared" si="46"/>
        <v>5.6318019623464471E-2</v>
      </c>
      <c r="AB67" s="335">
        <f t="shared" si="46"/>
        <v>5.6277113146348874E-2</v>
      </c>
      <c r="AC67" s="335">
        <f t="shared" si="46"/>
        <v>5.6220714498030386E-2</v>
      </c>
      <c r="AD67" s="335">
        <f t="shared" si="46"/>
        <v>5.6156178868127411E-2</v>
      </c>
      <c r="AE67" s="335">
        <f t="shared" si="46"/>
        <v>5.6100608967170042E-2</v>
      </c>
      <c r="AF67" s="335">
        <f t="shared" si="46"/>
        <v>5.6061502553997868E-2</v>
      </c>
      <c r="AG67" s="335">
        <f t="shared" si="46"/>
        <v>5.6026537552307208E-2</v>
      </c>
      <c r="AH67" s="335">
        <f t="shared" ref="AH67:AL67" si="47">AH20/AH$49</f>
        <v>5.5999392347926773E-2</v>
      </c>
      <c r="AI67" s="335">
        <f t="shared" si="47"/>
        <v>5.5957507383025615E-2</v>
      </c>
      <c r="AJ67" s="335">
        <f t="shared" si="47"/>
        <v>5.5905737450144023E-2</v>
      </c>
      <c r="AK67" s="335">
        <f t="shared" si="47"/>
        <v>5.5856962625359205E-2</v>
      </c>
      <c r="AL67" s="335">
        <f t="shared" si="47"/>
        <v>5.5780463232133523E-2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2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2">
      <c r="L69" s="16" t="str">
        <f>'Occ T3'!A24</f>
        <v>Administrative and secretarial occupations</v>
      </c>
      <c r="M69" s="336">
        <f t="shared" ref="M69:AG69" si="48">M22/M$49</f>
        <v>0.11302783000458433</v>
      </c>
      <c r="N69" s="336">
        <f t="shared" si="48"/>
        <v>0.10621025039605383</v>
      </c>
      <c r="O69" s="336">
        <f t="shared" si="48"/>
        <v>0.10669330811530194</v>
      </c>
      <c r="P69" s="336">
        <f t="shared" si="48"/>
        <v>0.10674233088890778</v>
      </c>
      <c r="Q69" s="336">
        <f t="shared" si="48"/>
        <v>0.10584668169069694</v>
      </c>
      <c r="R69" s="336">
        <f t="shared" si="48"/>
        <v>0.10299623759661547</v>
      </c>
      <c r="S69" s="336">
        <f t="shared" si="48"/>
        <v>9.7655499069313131E-2</v>
      </c>
      <c r="T69" s="336">
        <f t="shared" si="48"/>
        <v>0.10053067984189469</v>
      </c>
      <c r="U69" s="336">
        <f t="shared" si="48"/>
        <v>9.8181581642335689E-2</v>
      </c>
      <c r="V69" s="336">
        <f t="shared" si="48"/>
        <v>9.5633671687216829E-2</v>
      </c>
      <c r="W69" s="336">
        <f t="shared" si="48"/>
        <v>0.10047180709149764</v>
      </c>
      <c r="X69" s="336">
        <f t="shared" si="48"/>
        <v>9.6722635533170953E-2</v>
      </c>
      <c r="Y69" s="336">
        <f t="shared" si="48"/>
        <v>9.5468381825864465E-2</v>
      </c>
      <c r="Z69" s="336">
        <f t="shared" si="48"/>
        <v>9.4100940171347763E-2</v>
      </c>
      <c r="AA69" s="336">
        <f t="shared" si="48"/>
        <v>9.2739568100990072E-2</v>
      </c>
      <c r="AB69" s="336">
        <f t="shared" si="48"/>
        <v>9.1393103413540469E-2</v>
      </c>
      <c r="AC69" s="336">
        <f t="shared" si="48"/>
        <v>9.0105374200114247E-2</v>
      </c>
      <c r="AD69" s="336">
        <f t="shared" si="48"/>
        <v>8.8993253921757165E-2</v>
      </c>
      <c r="AE69" s="336">
        <f t="shared" si="48"/>
        <v>8.7817911343820734E-2</v>
      </c>
      <c r="AF69" s="336">
        <f t="shared" si="48"/>
        <v>8.6599628688154795E-2</v>
      </c>
      <c r="AG69" s="336">
        <f t="shared" si="48"/>
        <v>8.5268987472515434E-2</v>
      </c>
      <c r="AH69" s="336">
        <f t="shared" ref="AH69:AL69" si="49">AH22/AH$49</f>
        <v>8.4049078548668832E-2</v>
      </c>
      <c r="AI69" s="336">
        <f t="shared" si="49"/>
        <v>8.2891678309378894E-2</v>
      </c>
      <c r="AJ69" s="336">
        <f t="shared" si="49"/>
        <v>8.1683559910108214E-2</v>
      </c>
      <c r="AK69" s="336">
        <f t="shared" si="49"/>
        <v>8.0665993436302375E-2</v>
      </c>
      <c r="AL69" s="336">
        <f t="shared" si="49"/>
        <v>8.0747630556254266E-2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2">
      <c r="L70" s="232" t="str">
        <f>'Occ T3'!A25</f>
        <v>41 Administrative occupations</v>
      </c>
      <c r="M70" s="335">
        <f t="shared" ref="M70:AG70" si="50">M23/M$49</f>
        <v>8.5459565126688009E-2</v>
      </c>
      <c r="N70" s="335">
        <f t="shared" si="50"/>
        <v>8.2855384130628207E-2</v>
      </c>
      <c r="O70" s="335">
        <f t="shared" si="50"/>
        <v>8.3791436309729656E-2</v>
      </c>
      <c r="P70" s="335">
        <f t="shared" si="50"/>
        <v>8.2471022860375665E-2</v>
      </c>
      <c r="Q70" s="335">
        <f t="shared" si="50"/>
        <v>8.2268335664218664E-2</v>
      </c>
      <c r="R70" s="335">
        <f t="shared" si="50"/>
        <v>8.1853803867733943E-2</v>
      </c>
      <c r="S70" s="335">
        <f t="shared" si="50"/>
        <v>7.8357382570136538E-2</v>
      </c>
      <c r="T70" s="335">
        <f t="shared" si="50"/>
        <v>8.0392944230683216E-2</v>
      </c>
      <c r="U70" s="335">
        <f t="shared" si="50"/>
        <v>7.7998432122964631E-2</v>
      </c>
      <c r="V70" s="335">
        <f t="shared" si="50"/>
        <v>7.696761116223276E-2</v>
      </c>
      <c r="W70" s="335">
        <f t="shared" si="50"/>
        <v>8.2024243403853558E-2</v>
      </c>
      <c r="X70" s="335">
        <f t="shared" si="50"/>
        <v>7.6012278720564416E-2</v>
      </c>
      <c r="Y70" s="335">
        <f t="shared" si="50"/>
        <v>7.5213415128427955E-2</v>
      </c>
      <c r="Z70" s="335">
        <f t="shared" si="50"/>
        <v>7.4341291735544421E-2</v>
      </c>
      <c r="AA70" s="335">
        <f t="shared" si="50"/>
        <v>7.3496274680895465E-2</v>
      </c>
      <c r="AB70" s="335">
        <f t="shared" si="50"/>
        <v>7.2650610157607723E-2</v>
      </c>
      <c r="AC70" s="335">
        <f t="shared" si="50"/>
        <v>7.1768899061383451E-2</v>
      </c>
      <c r="AD70" s="335">
        <f t="shared" si="50"/>
        <v>7.0912987316604767E-2</v>
      </c>
      <c r="AE70" s="335">
        <f t="shared" si="50"/>
        <v>7.0123702533518475E-2</v>
      </c>
      <c r="AF70" s="335">
        <f t="shared" si="50"/>
        <v>6.9318025023275304E-2</v>
      </c>
      <c r="AG70" s="335">
        <f t="shared" si="50"/>
        <v>6.8521851503764664E-2</v>
      </c>
      <c r="AH70" s="335">
        <f t="shared" ref="AH70:AL70" si="51">AH23/AH$49</f>
        <v>6.7769372457676696E-2</v>
      </c>
      <c r="AI70" s="335">
        <f t="shared" si="51"/>
        <v>6.7073079910069555E-2</v>
      </c>
      <c r="AJ70" s="335">
        <f t="shared" si="51"/>
        <v>6.6365217003735294E-2</v>
      </c>
      <c r="AK70" s="335">
        <f t="shared" si="51"/>
        <v>6.5625852131248261E-2</v>
      </c>
      <c r="AL70" s="335">
        <f t="shared" si="51"/>
        <v>6.4840035609087479E-2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2">
      <c r="L71" s="232" t="str">
        <f>'Occ T3'!A26</f>
        <v>42 Secretarial and related occupations</v>
      </c>
      <c r="M71" s="335">
        <f t="shared" ref="M71:AG71" si="52">M24/M$49</f>
        <v>2.7568264877896303E-2</v>
      </c>
      <c r="N71" s="335">
        <f t="shared" si="52"/>
        <v>2.3354866265425617E-2</v>
      </c>
      <c r="O71" s="335">
        <f t="shared" si="52"/>
        <v>2.2901871805572266E-2</v>
      </c>
      <c r="P71" s="335">
        <f t="shared" si="52"/>
        <v>2.4271308028532092E-2</v>
      </c>
      <c r="Q71" s="335">
        <f t="shared" si="52"/>
        <v>2.3578346026478295E-2</v>
      </c>
      <c r="R71" s="335">
        <f t="shared" si="52"/>
        <v>2.114243372888153E-2</v>
      </c>
      <c r="S71" s="335">
        <f t="shared" si="52"/>
        <v>1.9298116499176593E-2</v>
      </c>
      <c r="T71" s="335">
        <f t="shared" si="52"/>
        <v>2.0137735611211481E-2</v>
      </c>
      <c r="U71" s="335">
        <f t="shared" si="52"/>
        <v>2.0183149519371061E-2</v>
      </c>
      <c r="V71" s="335">
        <f t="shared" si="52"/>
        <v>1.8666060524984079E-2</v>
      </c>
      <c r="W71" s="335">
        <f t="shared" si="52"/>
        <v>1.8447563687644084E-2</v>
      </c>
      <c r="X71" s="335">
        <f t="shared" si="52"/>
        <v>2.071035681260653E-2</v>
      </c>
      <c r="Y71" s="335">
        <f t="shared" si="52"/>
        <v>2.0254966697436511E-2</v>
      </c>
      <c r="Z71" s="335">
        <f t="shared" si="52"/>
        <v>1.9759648435803349E-2</v>
      </c>
      <c r="AA71" s="335">
        <f t="shared" si="52"/>
        <v>1.9243293420094596E-2</v>
      </c>
      <c r="AB71" s="335">
        <f t="shared" si="52"/>
        <v>1.8742493255932746E-2</v>
      </c>
      <c r="AC71" s="335">
        <f t="shared" si="52"/>
        <v>1.8336475138730792E-2</v>
      </c>
      <c r="AD71" s="335">
        <f t="shared" si="52"/>
        <v>1.8080266605152391E-2</v>
      </c>
      <c r="AE71" s="335">
        <f t="shared" si="52"/>
        <v>1.7694208810302241E-2</v>
      </c>
      <c r="AF71" s="335">
        <f t="shared" si="52"/>
        <v>1.7281603664879477E-2</v>
      </c>
      <c r="AG71" s="335">
        <f t="shared" si="52"/>
        <v>1.674713596875077E-2</v>
      </c>
      <c r="AH71" s="335">
        <f t="shared" ref="AH71:AL71" si="53">AH24/AH$49</f>
        <v>1.6279706090992135E-2</v>
      </c>
      <c r="AI71" s="335">
        <f t="shared" si="53"/>
        <v>1.5818598399309342E-2</v>
      </c>
      <c r="AJ71" s="335">
        <f t="shared" si="53"/>
        <v>1.5318342906372913E-2</v>
      </c>
      <c r="AK71" s="335">
        <f t="shared" si="53"/>
        <v>1.5040141305054109E-2</v>
      </c>
      <c r="AL71" s="335">
        <f t="shared" si="53"/>
        <v>1.5907594947166783E-2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2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2">
      <c r="L73" s="16" t="str">
        <f>'Occ T3'!A28</f>
        <v>Skilled trades occupations</v>
      </c>
      <c r="M73" s="336">
        <f t="shared" ref="M73:AG73" si="54">M26/M$49</f>
        <v>0.11665576902979505</v>
      </c>
      <c r="N73" s="336">
        <f t="shared" si="54"/>
        <v>0.11928160492614628</v>
      </c>
      <c r="O73" s="336">
        <f t="shared" si="54"/>
        <v>0.11437806750036478</v>
      </c>
      <c r="P73" s="336">
        <f t="shared" si="54"/>
        <v>0.11408984521707224</v>
      </c>
      <c r="Q73" s="336">
        <f t="shared" si="54"/>
        <v>0.11636997895512871</v>
      </c>
      <c r="R73" s="336">
        <f t="shared" si="54"/>
        <v>0.11780023561654175</v>
      </c>
      <c r="S73" s="336">
        <f t="shared" si="54"/>
        <v>0.11454337755263114</v>
      </c>
      <c r="T73" s="336">
        <f t="shared" si="54"/>
        <v>0.11348286811492424</v>
      </c>
      <c r="U73" s="336">
        <f t="shared" si="54"/>
        <v>0.1104791235306487</v>
      </c>
      <c r="V73" s="336">
        <f t="shared" si="54"/>
        <v>0.11153686296713626</v>
      </c>
      <c r="W73" s="336">
        <f t="shared" si="54"/>
        <v>0.10172532337626931</v>
      </c>
      <c r="X73" s="336">
        <f t="shared" si="54"/>
        <v>0.10251481447196108</v>
      </c>
      <c r="Y73" s="336">
        <f t="shared" si="54"/>
        <v>0.10181366696594123</v>
      </c>
      <c r="Z73" s="336">
        <f t="shared" si="54"/>
        <v>0.10149382584139897</v>
      </c>
      <c r="AA73" s="336">
        <f t="shared" si="54"/>
        <v>0.10105116119345728</v>
      </c>
      <c r="AB73" s="336">
        <f t="shared" si="54"/>
        <v>0.10043000470031317</v>
      </c>
      <c r="AC73" s="336">
        <f t="shared" si="54"/>
        <v>9.9880199735398092E-2</v>
      </c>
      <c r="AD73" s="336">
        <f t="shared" si="54"/>
        <v>9.9329204423546466E-2</v>
      </c>
      <c r="AE73" s="336">
        <f t="shared" si="54"/>
        <v>9.8771273750204808E-2</v>
      </c>
      <c r="AF73" s="336">
        <f t="shared" si="54"/>
        <v>9.8216487884149745E-2</v>
      </c>
      <c r="AG73" s="336">
        <f t="shared" si="54"/>
        <v>9.7665853914091855E-2</v>
      </c>
      <c r="AH73" s="336">
        <f t="shared" ref="AH73:AL73" si="55">AH26/AH$49</f>
        <v>9.7112833936535012E-2</v>
      </c>
      <c r="AI73" s="336">
        <f t="shared" si="55"/>
        <v>9.6551056200697413E-2</v>
      </c>
      <c r="AJ73" s="336">
        <f t="shared" si="55"/>
        <v>9.5968885374724214E-2</v>
      </c>
      <c r="AK73" s="336">
        <f t="shared" si="55"/>
        <v>9.5379279424843574E-2</v>
      </c>
      <c r="AL73" s="336">
        <f t="shared" si="55"/>
        <v>9.4593224675292784E-2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2">
      <c r="L74" s="232" t="str">
        <f>'Occ T3'!A29</f>
        <v>51 Skilled agricultural and related trades</v>
      </c>
      <c r="M74" s="335">
        <f t="shared" ref="M74:AG74" si="56">M27/M$49</f>
        <v>1.7262243004227646E-2</v>
      </c>
      <c r="N74" s="335">
        <f t="shared" si="56"/>
        <v>1.5980005002282093E-2</v>
      </c>
      <c r="O74" s="335">
        <f t="shared" si="56"/>
        <v>1.5285003952090705E-2</v>
      </c>
      <c r="P74" s="335">
        <f t="shared" si="56"/>
        <v>1.4510215432821633E-2</v>
      </c>
      <c r="Q74" s="335">
        <f t="shared" si="56"/>
        <v>1.5381283656546956E-2</v>
      </c>
      <c r="R74" s="335">
        <f t="shared" si="56"/>
        <v>1.4576569263874422E-2</v>
      </c>
      <c r="S74" s="335">
        <f t="shared" si="56"/>
        <v>1.5396009059752266E-2</v>
      </c>
      <c r="T74" s="335">
        <f t="shared" si="56"/>
        <v>1.5318082153715641E-2</v>
      </c>
      <c r="U74" s="335">
        <f t="shared" si="56"/>
        <v>1.5218091467126046E-2</v>
      </c>
      <c r="V74" s="335">
        <f t="shared" si="56"/>
        <v>1.3482478994894343E-2</v>
      </c>
      <c r="W74" s="335">
        <f t="shared" si="56"/>
        <v>1.4810880907805239E-2</v>
      </c>
      <c r="X74" s="335">
        <f t="shared" si="56"/>
        <v>1.4119481191636991E-2</v>
      </c>
      <c r="Y74" s="335">
        <f t="shared" si="56"/>
        <v>1.412264062809036E-2</v>
      </c>
      <c r="Z74" s="335">
        <f t="shared" si="56"/>
        <v>1.4196705344428098E-2</v>
      </c>
      <c r="AA74" s="335">
        <f t="shared" si="56"/>
        <v>1.4244250016603852E-2</v>
      </c>
      <c r="AB74" s="335">
        <f t="shared" si="56"/>
        <v>1.4266774841999055E-2</v>
      </c>
      <c r="AC74" s="335">
        <f t="shared" si="56"/>
        <v>1.4290157059913338E-2</v>
      </c>
      <c r="AD74" s="335">
        <f t="shared" si="56"/>
        <v>1.4316269873029874E-2</v>
      </c>
      <c r="AE74" s="335">
        <f t="shared" si="56"/>
        <v>1.4343405911644775E-2</v>
      </c>
      <c r="AF74" s="335">
        <f t="shared" si="56"/>
        <v>1.4364194297764357E-2</v>
      </c>
      <c r="AG74" s="335">
        <f t="shared" si="56"/>
        <v>1.4404267004689541E-2</v>
      </c>
      <c r="AH74" s="335">
        <f t="shared" ref="AH74:AL74" si="57">AH27/AH$49</f>
        <v>1.4446559144610873E-2</v>
      </c>
      <c r="AI74" s="335">
        <f t="shared" si="57"/>
        <v>1.4505756567081574E-2</v>
      </c>
      <c r="AJ74" s="335">
        <f t="shared" si="57"/>
        <v>1.4564714245953861E-2</v>
      </c>
      <c r="AK74" s="335">
        <f t="shared" si="57"/>
        <v>1.4618136735076817E-2</v>
      </c>
      <c r="AL74" s="335">
        <f t="shared" si="57"/>
        <v>1.4665853653335486E-2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2">
      <c r="L75" s="232" t="str">
        <f>'Occ T3'!A30</f>
        <v>52 Skilled metal, electrical and electronic trades</v>
      </c>
      <c r="M75" s="335">
        <f t="shared" ref="M75:AG75" si="58">M28/M$49</f>
        <v>3.8971971866586401E-2</v>
      </c>
      <c r="N75" s="335">
        <f t="shared" si="58"/>
        <v>4.3133931776200042E-2</v>
      </c>
      <c r="O75" s="335">
        <f t="shared" si="58"/>
        <v>3.8577298216560009E-2</v>
      </c>
      <c r="P75" s="335">
        <f t="shared" si="58"/>
        <v>4.0157315138573554E-2</v>
      </c>
      <c r="Q75" s="335">
        <f t="shared" si="58"/>
        <v>3.9837575670371633E-2</v>
      </c>
      <c r="R75" s="335">
        <f t="shared" si="58"/>
        <v>4.2509125929931252E-2</v>
      </c>
      <c r="S75" s="335">
        <f t="shared" si="58"/>
        <v>4.0382182469916136E-2</v>
      </c>
      <c r="T75" s="335">
        <f t="shared" si="58"/>
        <v>3.7994989446481199E-2</v>
      </c>
      <c r="U75" s="335">
        <f t="shared" si="58"/>
        <v>3.857478190134115E-2</v>
      </c>
      <c r="V75" s="335">
        <f t="shared" si="58"/>
        <v>3.9674019963482875E-2</v>
      </c>
      <c r="W75" s="335">
        <f t="shared" si="58"/>
        <v>3.5972912953263159E-2</v>
      </c>
      <c r="X75" s="335">
        <f t="shared" si="58"/>
        <v>3.5770556010286836E-2</v>
      </c>
      <c r="Y75" s="335">
        <f t="shared" si="58"/>
        <v>3.5324026369853434E-2</v>
      </c>
      <c r="Z75" s="335">
        <f t="shared" si="58"/>
        <v>3.4940761809017472E-2</v>
      </c>
      <c r="AA75" s="335">
        <f t="shared" si="58"/>
        <v>3.4564967768852234E-2</v>
      </c>
      <c r="AB75" s="335">
        <f t="shared" si="58"/>
        <v>3.4194975484634862E-2</v>
      </c>
      <c r="AC75" s="335">
        <f t="shared" si="58"/>
        <v>3.3876713455109758E-2</v>
      </c>
      <c r="AD75" s="335">
        <f t="shared" si="58"/>
        <v>3.3578845478985909E-2</v>
      </c>
      <c r="AE75" s="335">
        <f t="shared" si="58"/>
        <v>3.3282552962907427E-2</v>
      </c>
      <c r="AF75" s="335">
        <f t="shared" si="58"/>
        <v>3.2998322986228429E-2</v>
      </c>
      <c r="AG75" s="335">
        <f t="shared" si="58"/>
        <v>3.2712485301957729E-2</v>
      </c>
      <c r="AH75" s="335">
        <f t="shared" ref="AH75:AL75" si="59">AH28/AH$49</f>
        <v>3.2428823386505663E-2</v>
      </c>
      <c r="AI75" s="335">
        <f t="shared" si="59"/>
        <v>3.2141410519489849E-2</v>
      </c>
      <c r="AJ75" s="335">
        <f t="shared" si="59"/>
        <v>3.1853397374583842E-2</v>
      </c>
      <c r="AK75" s="335">
        <f t="shared" si="59"/>
        <v>3.1555846576582586E-2</v>
      </c>
      <c r="AL75" s="335">
        <f t="shared" si="59"/>
        <v>3.1276072581668701E-2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2">
      <c r="L76" s="232" t="str">
        <f>'Occ T3'!A31</f>
        <v>53 Skilled construction and building trades</v>
      </c>
      <c r="M76" s="335">
        <f t="shared" ref="M76:AG76" si="60">M29/M$49</f>
        <v>3.8470626404996933E-2</v>
      </c>
      <c r="N76" s="335">
        <f t="shared" si="60"/>
        <v>3.8836766803431219E-2</v>
      </c>
      <c r="O76" s="335">
        <f t="shared" si="60"/>
        <v>3.8139424450894632E-2</v>
      </c>
      <c r="P76" s="335">
        <f t="shared" si="60"/>
        <v>3.7950180051993104E-2</v>
      </c>
      <c r="Q76" s="335">
        <f t="shared" si="60"/>
        <v>3.9187301968707934E-2</v>
      </c>
      <c r="R76" s="335">
        <f t="shared" si="60"/>
        <v>3.9642428575601178E-2</v>
      </c>
      <c r="S76" s="335">
        <f t="shared" si="60"/>
        <v>3.7474592657135763E-2</v>
      </c>
      <c r="T76" s="335">
        <f t="shared" si="60"/>
        <v>3.8215919252482418E-2</v>
      </c>
      <c r="U76" s="335">
        <f t="shared" si="60"/>
        <v>3.5643996299850031E-2</v>
      </c>
      <c r="V76" s="335">
        <f t="shared" si="60"/>
        <v>3.913979186389465E-2</v>
      </c>
      <c r="W76" s="335">
        <f t="shared" si="60"/>
        <v>3.2016141689020304E-2</v>
      </c>
      <c r="X76" s="335">
        <f t="shared" si="60"/>
        <v>3.3801187777069697E-2</v>
      </c>
      <c r="Y76" s="335">
        <f t="shared" si="60"/>
        <v>3.3629931589344089E-2</v>
      </c>
      <c r="Z76" s="335">
        <f t="shared" si="60"/>
        <v>3.3712488308869464E-2</v>
      </c>
      <c r="AA76" s="335">
        <f t="shared" si="60"/>
        <v>3.3721948492421903E-2</v>
      </c>
      <c r="AB76" s="335">
        <f t="shared" si="60"/>
        <v>3.3574982558797345E-2</v>
      </c>
      <c r="AC76" s="335">
        <f t="shared" si="60"/>
        <v>3.3440197871312749E-2</v>
      </c>
      <c r="AD76" s="335">
        <f t="shared" si="60"/>
        <v>3.3290397893291621E-2</v>
      </c>
      <c r="AE76" s="335">
        <f t="shared" si="60"/>
        <v>3.3126283437495435E-2</v>
      </c>
      <c r="AF76" s="335">
        <f t="shared" si="60"/>
        <v>3.2968768525931648E-2</v>
      </c>
      <c r="AG76" s="335">
        <f t="shared" si="60"/>
        <v>3.2808691797833363E-2</v>
      </c>
      <c r="AH76" s="335">
        <f t="shared" ref="AH76:AL76" si="61">AH29/AH$49</f>
        <v>3.2639896009794139E-2</v>
      </c>
      <c r="AI76" s="335">
        <f t="shared" si="61"/>
        <v>3.2461403205221374E-2</v>
      </c>
      <c r="AJ76" s="335">
        <f t="shared" si="61"/>
        <v>3.2275271335260876E-2</v>
      </c>
      <c r="AK76" s="335">
        <f t="shared" si="61"/>
        <v>3.2085197409820958E-2</v>
      </c>
      <c r="AL76" s="335">
        <f t="shared" si="61"/>
        <v>3.19028355603568E-2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2">
      <c r="L77" s="232" t="str">
        <f>'Occ T3'!A32</f>
        <v>54 Textiles, printing and other skilled trades</v>
      </c>
      <c r="M77" s="335">
        <f t="shared" ref="M77:AG77" si="62">M30/M$49</f>
        <v>2.1950927753984075E-2</v>
      </c>
      <c r="N77" s="335">
        <f t="shared" si="62"/>
        <v>2.1330901344232933E-2</v>
      </c>
      <c r="O77" s="335">
        <f t="shared" si="62"/>
        <v>2.2376340880819419E-2</v>
      </c>
      <c r="P77" s="335">
        <f t="shared" si="62"/>
        <v>2.1472134593683957E-2</v>
      </c>
      <c r="Q77" s="335">
        <f t="shared" si="62"/>
        <v>2.1963817659502186E-2</v>
      </c>
      <c r="R77" s="335">
        <f t="shared" si="62"/>
        <v>2.1072111847134891E-2</v>
      </c>
      <c r="S77" s="335">
        <f t="shared" si="62"/>
        <v>2.1290593365826966E-2</v>
      </c>
      <c r="T77" s="335">
        <f t="shared" si="62"/>
        <v>2.1953877262244959E-2</v>
      </c>
      <c r="U77" s="335">
        <f t="shared" si="62"/>
        <v>2.104225386233147E-2</v>
      </c>
      <c r="V77" s="335">
        <f t="shared" si="62"/>
        <v>1.9240572144864399E-2</v>
      </c>
      <c r="W77" s="335">
        <f t="shared" si="62"/>
        <v>1.8925387826180612E-2</v>
      </c>
      <c r="X77" s="335">
        <f t="shared" si="62"/>
        <v>1.8823589492967547E-2</v>
      </c>
      <c r="Y77" s="335">
        <f t="shared" si="62"/>
        <v>1.8737068378653337E-2</v>
      </c>
      <c r="Z77" s="335">
        <f t="shared" si="62"/>
        <v>1.8643870379083952E-2</v>
      </c>
      <c r="AA77" s="335">
        <f t="shared" si="62"/>
        <v>1.851999491557928E-2</v>
      </c>
      <c r="AB77" s="335">
        <f t="shared" si="62"/>
        <v>1.8393271814881908E-2</v>
      </c>
      <c r="AC77" s="335">
        <f t="shared" si="62"/>
        <v>1.8273131349062235E-2</v>
      </c>
      <c r="AD77" s="335">
        <f t="shared" si="62"/>
        <v>1.8143691178239055E-2</v>
      </c>
      <c r="AE77" s="335">
        <f t="shared" si="62"/>
        <v>1.8019031438157144E-2</v>
      </c>
      <c r="AF77" s="335">
        <f t="shared" si="62"/>
        <v>1.7885202074225313E-2</v>
      </c>
      <c r="AG77" s="335">
        <f t="shared" si="62"/>
        <v>1.7740409809611227E-2</v>
      </c>
      <c r="AH77" s="335">
        <f t="shared" ref="AH77:AL77" si="63">AH30/AH$49</f>
        <v>1.7597555395624343E-2</v>
      </c>
      <c r="AI77" s="335">
        <f t="shared" si="63"/>
        <v>1.7442485908904595E-2</v>
      </c>
      <c r="AJ77" s="335">
        <f t="shared" si="63"/>
        <v>1.7275502418925632E-2</v>
      </c>
      <c r="AK77" s="335">
        <f t="shared" si="63"/>
        <v>1.7120098703363212E-2</v>
      </c>
      <c r="AL77" s="335">
        <f t="shared" si="63"/>
        <v>1.6748462879931793E-2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2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2">
      <c r="L79" s="16" t="str">
        <f>'Occ T3'!A34</f>
        <v>Caring, leisure and other service occupations</v>
      </c>
      <c r="M79" s="336">
        <f>M32/M$49</f>
        <v>0.10375324897514174</v>
      </c>
      <c r="N79" s="336">
        <f t="shared" ref="N79:AG79" si="64">N32/N$49</f>
        <v>9.8567549926130066E-2</v>
      </c>
      <c r="O79" s="336">
        <f t="shared" si="64"/>
        <v>0.10039285131585376</v>
      </c>
      <c r="P79" s="336">
        <f t="shared" si="64"/>
        <v>0.10319601765996272</v>
      </c>
      <c r="Q79" s="336">
        <f t="shared" si="64"/>
        <v>0.10414630930786417</v>
      </c>
      <c r="R79" s="336">
        <f t="shared" si="64"/>
        <v>0.10294036303503208</v>
      </c>
      <c r="S79" s="336">
        <f t="shared" si="64"/>
        <v>0.10131358815306704</v>
      </c>
      <c r="T79" s="336">
        <f t="shared" si="64"/>
        <v>9.9303734245792141E-2</v>
      </c>
      <c r="U79" s="336">
        <f t="shared" si="64"/>
        <v>9.8766464346921157E-2</v>
      </c>
      <c r="V79" s="336">
        <f t="shared" si="64"/>
        <v>9.9401799834343371E-2</v>
      </c>
      <c r="W79" s="336">
        <f t="shared" si="64"/>
        <v>9.4581704640653075E-2</v>
      </c>
      <c r="X79" s="336">
        <f t="shared" si="64"/>
        <v>9.7380276794733697E-2</v>
      </c>
      <c r="Y79" s="336">
        <f t="shared" si="64"/>
        <v>9.7977688360322918E-2</v>
      </c>
      <c r="Z79" s="336">
        <f t="shared" si="64"/>
        <v>9.8299050465467344E-2</v>
      </c>
      <c r="AA79" s="336">
        <f t="shared" si="64"/>
        <v>9.8704512264058769E-2</v>
      </c>
      <c r="AB79" s="336">
        <f t="shared" si="64"/>
        <v>9.9224648068990118E-2</v>
      </c>
      <c r="AC79" s="336">
        <f t="shared" si="64"/>
        <v>9.9680757736874959E-2</v>
      </c>
      <c r="AD79" s="336">
        <f t="shared" si="64"/>
        <v>0.10009894040077828</v>
      </c>
      <c r="AE79" s="336">
        <f t="shared" si="64"/>
        <v>0.10062753442160717</v>
      </c>
      <c r="AF79" s="336">
        <f t="shared" si="64"/>
        <v>0.10115641599653749</v>
      </c>
      <c r="AG79" s="336">
        <f t="shared" si="64"/>
        <v>0.10167543809971279</v>
      </c>
      <c r="AH79" s="336">
        <f t="shared" ref="AH79:AL79" si="65">AH32/AH$49</f>
        <v>0.10217851438858735</v>
      </c>
      <c r="AI79" s="336">
        <f t="shared" si="65"/>
        <v>0.10257749883595373</v>
      </c>
      <c r="AJ79" s="336">
        <f t="shared" si="65"/>
        <v>0.10298917222774806</v>
      </c>
      <c r="AK79" s="336">
        <f t="shared" si="65"/>
        <v>0.10338373916412297</v>
      </c>
      <c r="AL79" s="336">
        <f t="shared" si="65"/>
        <v>0.10372160762245733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2">
      <c r="L80" s="232" t="str">
        <f>'Occ T3'!A35</f>
        <v>61 Caring personal service occupations</v>
      </c>
      <c r="M80" s="335">
        <f t="shared" ref="M80:AG80" si="66">M33/M$49</f>
        <v>7.9053536893066628E-2</v>
      </c>
      <c r="N80" s="335">
        <f t="shared" si="66"/>
        <v>7.3753404107152365E-2</v>
      </c>
      <c r="O80" s="335">
        <f t="shared" si="66"/>
        <v>7.7513346957788151E-2</v>
      </c>
      <c r="P80" s="335">
        <f t="shared" si="66"/>
        <v>7.8812197887169505E-2</v>
      </c>
      <c r="Q80" s="335">
        <f t="shared" si="66"/>
        <v>7.9015184863330326E-2</v>
      </c>
      <c r="R80" s="335">
        <f t="shared" si="66"/>
        <v>8.0327077156079854E-2</v>
      </c>
      <c r="S80" s="335">
        <f t="shared" si="66"/>
        <v>7.8734161485651252E-2</v>
      </c>
      <c r="T80" s="335">
        <f t="shared" si="66"/>
        <v>7.6410048458594504E-2</v>
      </c>
      <c r="U80" s="335">
        <f t="shared" si="66"/>
        <v>7.5235012215733033E-2</v>
      </c>
      <c r="V80" s="335">
        <f t="shared" si="66"/>
        <v>7.5562334381404778E-2</v>
      </c>
      <c r="W80" s="335">
        <f t="shared" si="66"/>
        <v>7.2962486182365768E-2</v>
      </c>
      <c r="X80" s="335">
        <f t="shared" si="66"/>
        <v>7.5682716570353914E-2</v>
      </c>
      <c r="Y80" s="335">
        <f t="shared" si="66"/>
        <v>7.6034611973122501E-2</v>
      </c>
      <c r="Z80" s="335">
        <f t="shared" si="66"/>
        <v>7.62188342232413E-2</v>
      </c>
      <c r="AA80" s="335">
        <f t="shared" si="66"/>
        <v>7.6517749294029561E-2</v>
      </c>
      <c r="AB80" s="335">
        <f t="shared" si="66"/>
        <v>7.694783483027591E-2</v>
      </c>
      <c r="AC80" s="335">
        <f t="shared" si="66"/>
        <v>7.7307671641526882E-2</v>
      </c>
      <c r="AD80" s="335">
        <f t="shared" si="66"/>
        <v>7.7629555415276649E-2</v>
      </c>
      <c r="AE80" s="335">
        <f t="shared" si="66"/>
        <v>7.8063209556930704E-2</v>
      </c>
      <c r="AF80" s="335">
        <f t="shared" si="66"/>
        <v>7.8501467755688767E-2</v>
      </c>
      <c r="AG80" s="335">
        <f t="shared" si="66"/>
        <v>7.8929023203898468E-2</v>
      </c>
      <c r="AH80" s="335">
        <f t="shared" ref="AH80:AL80" si="67">AH33/AH$49</f>
        <v>7.9340909692329278E-2</v>
      </c>
      <c r="AI80" s="335">
        <f t="shared" si="67"/>
        <v>7.9648159066114027E-2</v>
      </c>
      <c r="AJ80" s="335">
        <f t="shared" si="67"/>
        <v>7.9972606281220271E-2</v>
      </c>
      <c r="AK80" s="335">
        <f t="shared" si="67"/>
        <v>8.0310339645715365E-2</v>
      </c>
      <c r="AL80" s="335">
        <f t="shared" si="67"/>
        <v>8.0667609073095226E-2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2">
      <c r="L81" s="232" t="str">
        <f>'Occ T3'!A36</f>
        <v>62 Leisure, travel and related personal service occupations</v>
      </c>
      <c r="M81" s="335">
        <f t="shared" ref="M81:AG82" si="68">M34/M$49</f>
        <v>2.3368024697997182E-2</v>
      </c>
      <c r="N81" s="335">
        <f t="shared" si="68"/>
        <v>2.3872936896466131E-2</v>
      </c>
      <c r="O81" s="335">
        <f t="shared" si="68"/>
        <v>2.1986635169788299E-2</v>
      </c>
      <c r="P81" s="335">
        <f t="shared" si="68"/>
        <v>2.3655602436301743E-2</v>
      </c>
      <c r="Q81" s="335">
        <f t="shared" si="68"/>
        <v>2.4320047265142773E-2</v>
      </c>
      <c r="R81" s="335">
        <f t="shared" si="68"/>
        <v>2.1792394353801769E-2</v>
      </c>
      <c r="S81" s="335">
        <f t="shared" si="68"/>
        <v>2.1902389363302893E-2</v>
      </c>
      <c r="T81" s="335">
        <f t="shared" si="68"/>
        <v>2.215849237151743E-2</v>
      </c>
      <c r="U81" s="335">
        <f t="shared" si="68"/>
        <v>2.2757721519804854E-2</v>
      </c>
      <c r="V81" s="335">
        <f t="shared" si="68"/>
        <v>2.319536864593778E-2</v>
      </c>
      <c r="W81" s="335">
        <f t="shared" si="68"/>
        <v>2.0732579631822099E-2</v>
      </c>
      <c r="X81" s="335">
        <f t="shared" si="68"/>
        <v>2.1050204656333862E-2</v>
      </c>
      <c r="Y81" s="335">
        <f t="shared" si="68"/>
        <v>2.1292258070286257E-2</v>
      </c>
      <c r="Z81" s="335">
        <f t="shared" si="68"/>
        <v>2.1427915993939409E-2</v>
      </c>
      <c r="AA81" s="335">
        <f t="shared" si="68"/>
        <v>2.153376207373434E-2</v>
      </c>
      <c r="AB81" s="335">
        <f t="shared" si="68"/>
        <v>2.1624892697933905E-2</v>
      </c>
      <c r="AC81" s="335">
        <f t="shared" si="68"/>
        <v>2.1721531295681284E-2</v>
      </c>
      <c r="AD81" s="335">
        <f t="shared" si="68"/>
        <v>2.1818352233789012E-2</v>
      </c>
      <c r="AE81" s="335">
        <f t="shared" si="68"/>
        <v>2.1913094703099049E-2</v>
      </c>
      <c r="AF81" s="335">
        <f t="shared" si="68"/>
        <v>2.2004517269158527E-2</v>
      </c>
      <c r="AG81" s="335">
        <f t="shared" si="68"/>
        <v>2.209569437413663E-2</v>
      </c>
      <c r="AH81" s="335">
        <f t="shared" ref="AH81:AL81" si="69">AH34/AH$49</f>
        <v>2.2186863492541599E-2</v>
      </c>
      <c r="AI81" s="335">
        <f t="shared" si="69"/>
        <v>2.227794803566267E-2</v>
      </c>
      <c r="AJ81" s="335">
        <f t="shared" si="69"/>
        <v>2.2366540434353006E-2</v>
      </c>
      <c r="AK81" s="335">
        <f t="shared" si="69"/>
        <v>2.2423231502395721E-2</v>
      </c>
      <c r="AL81" s="335">
        <f t="shared" si="69"/>
        <v>2.2405315507822269E-2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2">
      <c r="L82" s="232" t="str">
        <f>'Occ T3'!A37</f>
        <v>63 Community and civil enforcement occupations</v>
      </c>
      <c r="M82" s="335">
        <f>M35/M$49</f>
        <v>1.331687384077916E-3</v>
      </c>
      <c r="N82" s="335">
        <f t="shared" si="68"/>
        <v>9.4120892251157388E-4</v>
      </c>
      <c r="O82" s="335">
        <f t="shared" si="68"/>
        <v>8.9286918827731401E-4</v>
      </c>
      <c r="P82" s="335">
        <f t="shared" si="68"/>
        <v>7.2821733649145967E-4</v>
      </c>
      <c r="Q82" s="335">
        <f t="shared" si="68"/>
        <v>8.1107717939106808E-4</v>
      </c>
      <c r="R82" s="335">
        <f t="shared" si="68"/>
        <v>8.208915251504621E-4</v>
      </c>
      <c r="S82" s="335">
        <f t="shared" si="68"/>
        <v>6.7703730411289493E-4</v>
      </c>
      <c r="T82" s="335">
        <f t="shared" si="68"/>
        <v>7.3519341568019305E-4</v>
      </c>
      <c r="U82" s="335">
        <f t="shared" si="68"/>
        <v>7.7373061138327444E-4</v>
      </c>
      <c r="V82" s="335">
        <f t="shared" si="68"/>
        <v>6.440968070008233E-4</v>
      </c>
      <c r="W82" s="335">
        <f t="shared" si="68"/>
        <v>8.8663882646521075E-4</v>
      </c>
      <c r="X82" s="335">
        <f t="shared" si="68"/>
        <v>6.4735556804591213E-4</v>
      </c>
      <c r="Y82" s="335">
        <f t="shared" si="68"/>
        <v>6.5081831691415968E-4</v>
      </c>
      <c r="Z82" s="335">
        <f t="shared" si="68"/>
        <v>6.5230024828664707E-4</v>
      </c>
      <c r="AA82" s="335">
        <f t="shared" si="68"/>
        <v>6.5300089629487484E-4</v>
      </c>
      <c r="AB82" s="335">
        <f t="shared" si="68"/>
        <v>6.5192054078031404E-4</v>
      </c>
      <c r="AC82" s="335">
        <f t="shared" si="68"/>
        <v>6.5155479966679496E-4</v>
      </c>
      <c r="AD82" s="335">
        <f t="shared" si="68"/>
        <v>6.5103275171262819E-4</v>
      </c>
      <c r="AE82" s="335">
        <f t="shared" si="68"/>
        <v>6.5123016157741197E-4</v>
      </c>
      <c r="AF82" s="335">
        <f t="shared" si="68"/>
        <v>6.5043097169020618E-4</v>
      </c>
      <c r="AG82" s="335">
        <f t="shared" si="68"/>
        <v>6.5072052167769174E-4</v>
      </c>
      <c r="AH82" s="335">
        <f t="shared" ref="AH82:AL82" si="70">AH35/AH$49</f>
        <v>6.5074120371645607E-4</v>
      </c>
      <c r="AI82" s="335">
        <f t="shared" si="70"/>
        <v>6.513917341770182E-4</v>
      </c>
      <c r="AJ82" s="335">
        <f t="shared" si="70"/>
        <v>6.5002551217477268E-4</v>
      </c>
      <c r="AK82" s="335">
        <f t="shared" si="70"/>
        <v>6.5016801601187164E-4</v>
      </c>
      <c r="AL82" s="335">
        <f t="shared" si="70"/>
        <v>6.4868304153982035E-4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2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2">
      <c r="L84" s="16" t="str">
        <f>'Occ T3'!A39</f>
        <v>Sales and customer service occupations</v>
      </c>
      <c r="M84" s="336">
        <f t="shared" ref="M84:AG84" si="71">M37/M$49</f>
        <v>9.0923989693715651E-2</v>
      </c>
      <c r="N84" s="336">
        <f t="shared" si="71"/>
        <v>9.3985424443274429E-2</v>
      </c>
      <c r="O84" s="336">
        <f t="shared" si="71"/>
        <v>9.7955539459822688E-2</v>
      </c>
      <c r="P84" s="336">
        <f t="shared" si="71"/>
        <v>9.5234463814893297E-2</v>
      </c>
      <c r="Q84" s="336">
        <f t="shared" si="71"/>
        <v>9.0762420677433911E-2</v>
      </c>
      <c r="R84" s="336">
        <f t="shared" si="71"/>
        <v>9.1147552711457219E-2</v>
      </c>
      <c r="S84" s="336">
        <f t="shared" si="71"/>
        <v>9.6948136296172674E-2</v>
      </c>
      <c r="T84" s="336">
        <f t="shared" si="71"/>
        <v>9.2440847371480589E-2</v>
      </c>
      <c r="U84" s="336">
        <f t="shared" si="71"/>
        <v>8.7747286276394873E-2</v>
      </c>
      <c r="V84" s="336">
        <f t="shared" si="71"/>
        <v>8.4840256326720959E-2</v>
      </c>
      <c r="W84" s="336">
        <f t="shared" si="71"/>
        <v>8.6506920392037098E-2</v>
      </c>
      <c r="X84" s="336">
        <f t="shared" si="71"/>
        <v>8.5135504600371101E-2</v>
      </c>
      <c r="Y84" s="336">
        <f t="shared" si="71"/>
        <v>8.4716338888618403E-2</v>
      </c>
      <c r="Z84" s="336">
        <f t="shared" si="71"/>
        <v>8.4223803573609354E-2</v>
      </c>
      <c r="AA84" s="336">
        <f t="shared" si="71"/>
        <v>8.3824255166525849E-2</v>
      </c>
      <c r="AB84" s="336">
        <f t="shared" si="71"/>
        <v>8.3481310486712687E-2</v>
      </c>
      <c r="AC84" s="336">
        <f t="shared" si="71"/>
        <v>8.3086843444432817E-2</v>
      </c>
      <c r="AD84" s="336">
        <f t="shared" si="71"/>
        <v>8.2650480012954733E-2</v>
      </c>
      <c r="AE84" s="336">
        <f t="shared" si="71"/>
        <v>8.2183486024896113E-2</v>
      </c>
      <c r="AF84" s="336">
        <f t="shared" si="71"/>
        <v>8.1718822695027976E-2</v>
      </c>
      <c r="AG84" s="336">
        <f t="shared" si="71"/>
        <v>8.1227531178218279E-2</v>
      </c>
      <c r="AH84" s="336">
        <f t="shared" ref="AH84:AL84" si="72">AH37/AH$49</f>
        <v>8.0715464202726947E-2</v>
      </c>
      <c r="AI84" s="336">
        <f t="shared" si="72"/>
        <v>8.0204819554014012E-2</v>
      </c>
      <c r="AJ84" s="336">
        <f t="shared" si="72"/>
        <v>7.9661138396880535E-2</v>
      </c>
      <c r="AK84" s="336">
        <f t="shared" si="72"/>
        <v>7.9130777772909416E-2</v>
      </c>
      <c r="AL84" s="336">
        <f t="shared" si="72"/>
        <v>7.8530938849276796E-2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2">
      <c r="L85" s="232" t="str">
        <f>'Occ T3'!A40</f>
        <v>71 Sales occupations</v>
      </c>
      <c r="M85" s="335">
        <f t="shared" ref="M85:AG85" si="73">M38/M$49</f>
        <v>7.5744308238735222E-2</v>
      </c>
      <c r="N85" s="335">
        <f t="shared" si="73"/>
        <v>7.9390015391732682E-2</v>
      </c>
      <c r="O85" s="335">
        <f t="shared" si="73"/>
        <v>8.3402319898774446E-2</v>
      </c>
      <c r="P85" s="335">
        <f t="shared" si="73"/>
        <v>8.0758679635692637E-2</v>
      </c>
      <c r="Q85" s="335">
        <f t="shared" si="73"/>
        <v>7.7087242301821485E-2</v>
      </c>
      <c r="R85" s="335">
        <f t="shared" si="73"/>
        <v>7.6419710895420226E-2</v>
      </c>
      <c r="S85" s="335">
        <f t="shared" si="73"/>
        <v>8.2718325567517459E-2</v>
      </c>
      <c r="T85" s="335">
        <f t="shared" si="73"/>
        <v>7.6870327447793999E-2</v>
      </c>
      <c r="U85" s="335">
        <f t="shared" si="73"/>
        <v>7.1953834242620349E-2</v>
      </c>
      <c r="V85" s="335">
        <f t="shared" si="73"/>
        <v>6.9435578337074297E-2</v>
      </c>
      <c r="W85" s="335">
        <f t="shared" si="73"/>
        <v>7.0220296029739795E-2</v>
      </c>
      <c r="X85" s="335">
        <f t="shared" si="73"/>
        <v>6.5647275405714453E-2</v>
      </c>
      <c r="Y85" s="335">
        <f t="shared" si="73"/>
        <v>6.5060765553819511E-2</v>
      </c>
      <c r="Z85" s="335">
        <f t="shared" si="73"/>
        <v>6.4382108572643065E-2</v>
      </c>
      <c r="AA85" s="335">
        <f t="shared" si="73"/>
        <v>6.3801369532219071E-2</v>
      </c>
      <c r="AB85" s="335">
        <f t="shared" si="73"/>
        <v>6.3276984606585832E-2</v>
      </c>
      <c r="AC85" s="335">
        <f t="shared" si="73"/>
        <v>6.2714924925067667E-2</v>
      </c>
      <c r="AD85" s="335">
        <f t="shared" si="73"/>
        <v>6.2105999037340529E-2</v>
      </c>
      <c r="AE85" s="335">
        <f t="shared" si="73"/>
        <v>6.1470861801223596E-2</v>
      </c>
      <c r="AF85" s="335">
        <f t="shared" si="73"/>
        <v>6.0832174172048156E-2</v>
      </c>
      <c r="AG85" s="335">
        <f t="shared" si="73"/>
        <v>6.016260837726415E-2</v>
      </c>
      <c r="AH85" s="335">
        <f t="shared" ref="AH85:AL85" si="74">AH38/AH$49</f>
        <v>5.9473328457860124E-2</v>
      </c>
      <c r="AI85" s="335">
        <f t="shared" si="74"/>
        <v>5.8793918141794063E-2</v>
      </c>
      <c r="AJ85" s="335">
        <f t="shared" si="74"/>
        <v>5.8082829365268755E-2</v>
      </c>
      <c r="AK85" s="335">
        <f t="shared" si="74"/>
        <v>5.7390245300867518E-2</v>
      </c>
      <c r="AL85" s="335">
        <f t="shared" si="74"/>
        <v>5.6634522115753254E-2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2">
      <c r="L86" s="232" t="str">
        <f>'Occ T3'!A41</f>
        <v>72 Customer service occupations</v>
      </c>
      <c r="M86" s="335">
        <f>M39/M$49</f>
        <v>1.517968145498043E-2</v>
      </c>
      <c r="N86" s="335">
        <f t="shared" ref="N86:AG86" si="75">N39/N$49</f>
        <v>1.4595409051541731E-2</v>
      </c>
      <c r="O86" s="335">
        <f t="shared" si="75"/>
        <v>1.4553219561048231E-2</v>
      </c>
      <c r="P86" s="335">
        <f t="shared" si="75"/>
        <v>1.447578417920066E-2</v>
      </c>
      <c r="Q86" s="335">
        <f t="shared" si="75"/>
        <v>1.3675178375612438E-2</v>
      </c>
      <c r="R86" s="335">
        <f t="shared" si="75"/>
        <v>1.4727841816036992E-2</v>
      </c>
      <c r="S86" s="335">
        <f t="shared" si="75"/>
        <v>1.422981072865522E-2</v>
      </c>
      <c r="T86" s="335">
        <f t="shared" si="75"/>
        <v>1.5570519923686589E-2</v>
      </c>
      <c r="U86" s="335">
        <f t="shared" si="75"/>
        <v>1.5793452033774521E-2</v>
      </c>
      <c r="V86" s="335">
        <f t="shared" si="75"/>
        <v>1.5404677989646664E-2</v>
      </c>
      <c r="W86" s="335">
        <f t="shared" si="75"/>
        <v>1.6286624362297306E-2</v>
      </c>
      <c r="X86" s="335">
        <f t="shared" si="75"/>
        <v>1.9488229194656651E-2</v>
      </c>
      <c r="Y86" s="335">
        <f t="shared" si="75"/>
        <v>1.9655573334798896E-2</v>
      </c>
      <c r="Z86" s="335">
        <f t="shared" si="75"/>
        <v>1.9841695000966286E-2</v>
      </c>
      <c r="AA86" s="335">
        <f t="shared" si="75"/>
        <v>2.0022885634306781E-2</v>
      </c>
      <c r="AB86" s="335">
        <f t="shared" si="75"/>
        <v>2.0204325880126866E-2</v>
      </c>
      <c r="AC86" s="335">
        <f t="shared" si="75"/>
        <v>2.0371918519365151E-2</v>
      </c>
      <c r="AD86" s="335">
        <f t="shared" si="75"/>
        <v>2.0544480975614197E-2</v>
      </c>
      <c r="AE86" s="335">
        <f t="shared" si="75"/>
        <v>2.0712624223672517E-2</v>
      </c>
      <c r="AF86" s="335">
        <f t="shared" si="75"/>
        <v>2.0886648522979809E-2</v>
      </c>
      <c r="AG86" s="335">
        <f t="shared" si="75"/>
        <v>2.106492280095414E-2</v>
      </c>
      <c r="AH86" s="335">
        <f t="shared" ref="AH86:AL86" si="76">AH39/AH$49</f>
        <v>2.124213574486682E-2</v>
      </c>
      <c r="AI86" s="335">
        <f t="shared" si="76"/>
        <v>2.1410901412219945E-2</v>
      </c>
      <c r="AJ86" s="335">
        <f t="shared" si="76"/>
        <v>2.1578309031611776E-2</v>
      </c>
      <c r="AK86" s="335">
        <f t="shared" si="76"/>
        <v>2.1740532472041899E-2</v>
      </c>
      <c r="AL86" s="335">
        <f t="shared" si="76"/>
        <v>2.1896416733523553E-2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2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2">
      <c r="L88" s="16" t="str">
        <f>'Occ T3'!A43</f>
        <v>Process, plant and machine operatives</v>
      </c>
      <c r="M88" s="336">
        <f t="shared" ref="M88:AG88" si="77">M41/M$49</f>
        <v>5.9716114977201834E-2</v>
      </c>
      <c r="N88" s="336">
        <f t="shared" si="77"/>
        <v>5.857942583463778E-2</v>
      </c>
      <c r="O88" s="336">
        <f t="shared" si="77"/>
        <v>5.7315093513080298E-2</v>
      </c>
      <c r="P88" s="336">
        <f t="shared" si="77"/>
        <v>5.7259124406280677E-2</v>
      </c>
      <c r="Q88" s="336">
        <f t="shared" si="77"/>
        <v>5.8029699342520676E-2</v>
      </c>
      <c r="R88" s="336">
        <f t="shared" si="77"/>
        <v>5.6603218492350837E-2</v>
      </c>
      <c r="S88" s="336">
        <f t="shared" si="77"/>
        <v>5.7522164260571315E-2</v>
      </c>
      <c r="T88" s="336">
        <f t="shared" si="77"/>
        <v>5.6486433914764211E-2</v>
      </c>
      <c r="U88" s="336">
        <f t="shared" si="77"/>
        <v>5.8690594673455845E-2</v>
      </c>
      <c r="V88" s="336">
        <f t="shared" si="77"/>
        <v>5.4809431233596141E-2</v>
      </c>
      <c r="W88" s="336">
        <f t="shared" si="77"/>
        <v>4.9404834882593167E-2</v>
      </c>
      <c r="X88" s="336">
        <f t="shared" si="77"/>
        <v>5.4981913006943189E-2</v>
      </c>
      <c r="Y88" s="336">
        <f t="shared" si="77"/>
        <v>5.4377764703372522E-2</v>
      </c>
      <c r="Z88" s="336">
        <f t="shared" si="77"/>
        <v>5.4040228608226083E-2</v>
      </c>
      <c r="AA88" s="336">
        <f t="shared" si="77"/>
        <v>5.3768406788320518E-2</v>
      </c>
      <c r="AB88" s="336">
        <f t="shared" si="77"/>
        <v>5.350087781243678E-2</v>
      </c>
      <c r="AC88" s="336">
        <f t="shared" si="77"/>
        <v>5.3235358166513806E-2</v>
      </c>
      <c r="AD88" s="336">
        <f t="shared" si="77"/>
        <v>5.2969920477023195E-2</v>
      </c>
      <c r="AE88" s="336">
        <f t="shared" si="77"/>
        <v>5.2679885815160095E-2</v>
      </c>
      <c r="AF88" s="336">
        <f t="shared" si="77"/>
        <v>5.2396307371570493E-2</v>
      </c>
      <c r="AG88" s="336">
        <f t="shared" si="77"/>
        <v>5.2138621773317323E-2</v>
      </c>
      <c r="AH88" s="336">
        <f t="shared" ref="AH88:AL88" si="78">AH41/AH$49</f>
        <v>5.1880960608662152E-2</v>
      </c>
      <c r="AI88" s="336">
        <f t="shared" si="78"/>
        <v>5.1615466360321792E-2</v>
      </c>
      <c r="AJ88" s="336">
        <f t="shared" si="78"/>
        <v>5.1404573516016204E-2</v>
      </c>
      <c r="AK88" s="336">
        <f t="shared" si="78"/>
        <v>5.1207555853375927E-2</v>
      </c>
      <c r="AL88" s="336">
        <f t="shared" si="78"/>
        <v>5.108056313884226E-2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2">
      <c r="L89" s="232" t="str">
        <f>'Occ T3'!A44</f>
        <v>81 Process, plant and machine operatives</v>
      </c>
      <c r="M89" s="335">
        <f t="shared" ref="M89:AG89" si="79">M42/M$49</f>
        <v>2.6982743138591506E-2</v>
      </c>
      <c r="N89" s="335">
        <f t="shared" si="79"/>
        <v>2.5555621092108839E-2</v>
      </c>
      <c r="O89" s="335">
        <f t="shared" si="79"/>
        <v>2.6623998515141658E-2</v>
      </c>
      <c r="P89" s="335">
        <f t="shared" si="79"/>
        <v>2.6848942929495797E-2</v>
      </c>
      <c r="Q89" s="335">
        <f t="shared" si="79"/>
        <v>2.6530926075965282E-2</v>
      </c>
      <c r="R89" s="335">
        <f t="shared" si="79"/>
        <v>2.6218608566143799E-2</v>
      </c>
      <c r="S89" s="335">
        <f t="shared" si="79"/>
        <v>2.5584156268344902E-2</v>
      </c>
      <c r="T89" s="335">
        <f t="shared" si="79"/>
        <v>2.6012967637337348E-2</v>
      </c>
      <c r="U89" s="335">
        <f t="shared" si="79"/>
        <v>2.5829100561050009E-2</v>
      </c>
      <c r="V89" s="335">
        <f t="shared" si="79"/>
        <v>2.3976308424061742E-2</v>
      </c>
      <c r="W89" s="335">
        <f t="shared" si="79"/>
        <v>2.1362096007285433E-2</v>
      </c>
      <c r="X89" s="335">
        <f t="shared" si="79"/>
        <v>2.5514947459480002E-2</v>
      </c>
      <c r="Y89" s="335">
        <f t="shared" si="79"/>
        <v>2.5257763821212371E-2</v>
      </c>
      <c r="Z89" s="335">
        <f t="shared" si="79"/>
        <v>2.5087503136639225E-2</v>
      </c>
      <c r="AA89" s="335">
        <f t="shared" si="79"/>
        <v>2.4927627608176323E-2</v>
      </c>
      <c r="AB89" s="335">
        <f t="shared" si="79"/>
        <v>2.4776588953467765E-2</v>
      </c>
      <c r="AC89" s="335">
        <f t="shared" si="79"/>
        <v>2.4610244543805605E-2</v>
      </c>
      <c r="AD89" s="335">
        <f t="shared" si="79"/>
        <v>2.445242511005986E-2</v>
      </c>
      <c r="AE89" s="335">
        <f t="shared" si="79"/>
        <v>2.4254970863095061E-2</v>
      </c>
      <c r="AF89" s="335">
        <f t="shared" si="79"/>
        <v>2.4058375266096693E-2</v>
      </c>
      <c r="AG89" s="335">
        <f t="shared" si="79"/>
        <v>2.3879933286495545E-2</v>
      </c>
      <c r="AH89" s="335">
        <f t="shared" ref="AH89:AL89" si="80">AH42/AH$49</f>
        <v>2.3702026484608337E-2</v>
      </c>
      <c r="AI89" s="335">
        <f t="shared" si="80"/>
        <v>2.3525003073237259E-2</v>
      </c>
      <c r="AJ89" s="335">
        <f t="shared" si="80"/>
        <v>2.3401059840200453E-2</v>
      </c>
      <c r="AK89" s="335">
        <f t="shared" si="80"/>
        <v>2.3295725384583785E-2</v>
      </c>
      <c r="AL89" s="335">
        <f t="shared" si="80"/>
        <v>2.3260259836047358E-2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2">
      <c r="L90" s="232" t="str">
        <f>'Occ T3'!A45</f>
        <v>82 Transport and mobile machine drivers and operatives</v>
      </c>
      <c r="M90" s="335">
        <f t="shared" ref="M90:AG90" si="81">M43/M$49</f>
        <v>3.2733371838610324E-2</v>
      </c>
      <c r="N90" s="335">
        <f t="shared" si="81"/>
        <v>3.3023804742528938E-2</v>
      </c>
      <c r="O90" s="335">
        <f t="shared" si="81"/>
        <v>3.069109499793864E-2</v>
      </c>
      <c r="P90" s="335">
        <f t="shared" si="81"/>
        <v>3.041018147678488E-2</v>
      </c>
      <c r="Q90" s="335">
        <f t="shared" si="81"/>
        <v>3.149877326655539E-2</v>
      </c>
      <c r="R90" s="335">
        <f t="shared" si="81"/>
        <v>3.0384609926207035E-2</v>
      </c>
      <c r="S90" s="335">
        <f t="shared" si="81"/>
        <v>3.193800799222641E-2</v>
      </c>
      <c r="T90" s="335">
        <f t="shared" si="81"/>
        <v>3.0473466277426864E-2</v>
      </c>
      <c r="U90" s="335">
        <f t="shared" si="81"/>
        <v>3.286149411240584E-2</v>
      </c>
      <c r="V90" s="335">
        <f t="shared" si="81"/>
        <v>3.0833122809534402E-2</v>
      </c>
      <c r="W90" s="335">
        <f t="shared" si="81"/>
        <v>2.8042738875307734E-2</v>
      </c>
      <c r="X90" s="335">
        <f t="shared" si="81"/>
        <v>2.9466965547463184E-2</v>
      </c>
      <c r="Y90" s="335">
        <f t="shared" si="81"/>
        <v>2.9120000882160144E-2</v>
      </c>
      <c r="Z90" s="335">
        <f t="shared" si="81"/>
        <v>2.8952725471586852E-2</v>
      </c>
      <c r="AA90" s="335">
        <f t="shared" si="81"/>
        <v>2.8840779180144192E-2</v>
      </c>
      <c r="AB90" s="335">
        <f t="shared" si="81"/>
        <v>2.8724288858969018E-2</v>
      </c>
      <c r="AC90" s="335">
        <f t="shared" si="81"/>
        <v>2.8625113622708195E-2</v>
      </c>
      <c r="AD90" s="335">
        <f t="shared" si="81"/>
        <v>2.8517495366963332E-2</v>
      </c>
      <c r="AE90" s="335">
        <f t="shared" si="81"/>
        <v>2.8424914952065037E-2</v>
      </c>
      <c r="AF90" s="335">
        <f t="shared" si="81"/>
        <v>2.83379321054738E-2</v>
      </c>
      <c r="AG90" s="335">
        <f t="shared" si="81"/>
        <v>2.8258688486821781E-2</v>
      </c>
      <c r="AH90" s="335">
        <f t="shared" ref="AH90:AL90" si="82">AH43/AH$49</f>
        <v>2.8178934124053815E-2</v>
      </c>
      <c r="AI90" s="335">
        <f t="shared" si="82"/>
        <v>2.8090463287084536E-2</v>
      </c>
      <c r="AJ90" s="335">
        <f t="shared" si="82"/>
        <v>2.8003513675815751E-2</v>
      </c>
      <c r="AK90" s="335">
        <f t="shared" si="82"/>
        <v>2.7911830468792146E-2</v>
      </c>
      <c r="AL90" s="335">
        <f t="shared" si="82"/>
        <v>2.7820303302794905E-2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2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2">
      <c r="L92" s="16" t="str">
        <f>'Occ T3'!A47</f>
        <v>Elementary occupations</v>
      </c>
      <c r="M92" s="336">
        <f t="shared" ref="M92:AG92" si="83">M45/M$49</f>
        <v>0.12466655250050059</v>
      </c>
      <c r="N92" s="336">
        <f t="shared" si="83"/>
        <v>0.11596498928330419</v>
      </c>
      <c r="O92" s="336">
        <f t="shared" si="83"/>
        <v>0.11766672867213035</v>
      </c>
      <c r="P92" s="336">
        <f t="shared" si="83"/>
        <v>0.11297241866212525</v>
      </c>
      <c r="Q92" s="336">
        <f t="shared" si="83"/>
        <v>0.11534870885194953</v>
      </c>
      <c r="R92" s="336">
        <f t="shared" si="83"/>
        <v>0.11339404126111509</v>
      </c>
      <c r="S92" s="336">
        <f t="shared" si="83"/>
        <v>0.11133543386703137</v>
      </c>
      <c r="T92" s="336">
        <f t="shared" si="83"/>
        <v>0.11177902536591844</v>
      </c>
      <c r="U92" s="336">
        <f t="shared" si="83"/>
        <v>0.11087222751218669</v>
      </c>
      <c r="V92" s="336">
        <f t="shared" si="83"/>
        <v>0.10729608581361742</v>
      </c>
      <c r="W92" s="336">
        <f t="shared" si="83"/>
        <v>0.10113953107226091</v>
      </c>
      <c r="X92" s="336">
        <f t="shared" si="83"/>
        <v>0.10230130303525228</v>
      </c>
      <c r="Y92" s="336">
        <f t="shared" si="83"/>
        <v>0.10176077186943377</v>
      </c>
      <c r="Z92" s="336">
        <f t="shared" si="83"/>
        <v>0.10156198763837859</v>
      </c>
      <c r="AA92" s="336">
        <f t="shared" si="83"/>
        <v>0.10101677656468198</v>
      </c>
      <c r="AB92" s="336">
        <f t="shared" si="83"/>
        <v>0.10033568828935727</v>
      </c>
      <c r="AC92" s="336">
        <f t="shared" si="83"/>
        <v>9.9693462992388793E-2</v>
      </c>
      <c r="AD92" s="336">
        <f t="shared" si="83"/>
        <v>9.8977064956665486E-2</v>
      </c>
      <c r="AE92" s="336">
        <f t="shared" si="83"/>
        <v>9.8165265583298481E-2</v>
      </c>
      <c r="AF92" s="336">
        <f t="shared" si="83"/>
        <v>9.7341363755737667E-2</v>
      </c>
      <c r="AG92" s="336">
        <f t="shared" si="83"/>
        <v>9.6643864189182971E-2</v>
      </c>
      <c r="AH92" s="336">
        <f t="shared" ref="AH92:AL92" si="84">AH45/AH$49</f>
        <v>9.5859685985724211E-2</v>
      </c>
      <c r="AI92" s="336">
        <f t="shared" si="84"/>
        <v>9.5030232684685911E-2</v>
      </c>
      <c r="AJ92" s="336">
        <f t="shared" si="84"/>
        <v>9.4197007218522005E-2</v>
      </c>
      <c r="AK92" s="336">
        <f t="shared" si="84"/>
        <v>9.3371118459268418E-2</v>
      </c>
      <c r="AL92" s="336">
        <f t="shared" si="84"/>
        <v>9.2545977865837931E-2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2">
      <c r="L93" s="232" t="str">
        <f>'Occ T3'!A48</f>
        <v>91 Elementary trades and related occupations</v>
      </c>
      <c r="M93" s="335">
        <f t="shared" ref="M93:AG93" si="85">M46/M$49</f>
        <v>1.8362381265554575E-2</v>
      </c>
      <c r="N93" s="335">
        <f t="shared" si="85"/>
        <v>1.7717225998001879E-2</v>
      </c>
      <c r="O93" s="335">
        <f t="shared" si="85"/>
        <v>1.7922134994064753E-2</v>
      </c>
      <c r="P93" s="335">
        <f t="shared" si="85"/>
        <v>1.6706355850178344E-2</v>
      </c>
      <c r="Q93" s="335">
        <f t="shared" si="85"/>
        <v>1.8387258145763922E-2</v>
      </c>
      <c r="R93" s="335">
        <f t="shared" si="85"/>
        <v>1.8318712120620476E-2</v>
      </c>
      <c r="S93" s="335">
        <f t="shared" si="85"/>
        <v>1.7951828784839488E-2</v>
      </c>
      <c r="T93" s="335">
        <f t="shared" si="85"/>
        <v>1.7465198645866896E-2</v>
      </c>
      <c r="U93" s="335">
        <f t="shared" si="85"/>
        <v>1.6891545979182462E-2</v>
      </c>
      <c r="V93" s="335">
        <f t="shared" si="85"/>
        <v>1.5457772877776756E-2</v>
      </c>
      <c r="W93" s="335">
        <f t="shared" si="85"/>
        <v>1.4053078402198051E-2</v>
      </c>
      <c r="X93" s="335">
        <f t="shared" si="85"/>
        <v>1.2179650532571022E-2</v>
      </c>
      <c r="Y93" s="335">
        <f t="shared" si="85"/>
        <v>1.2104295673823946E-2</v>
      </c>
      <c r="Z93" s="335">
        <f t="shared" si="85"/>
        <v>1.2045606595792974E-2</v>
      </c>
      <c r="AA93" s="335">
        <f t="shared" si="85"/>
        <v>1.198554021051218E-2</v>
      </c>
      <c r="AB93" s="335">
        <f t="shared" si="85"/>
        <v>1.1928433489474843E-2</v>
      </c>
      <c r="AC93" s="335">
        <f t="shared" si="85"/>
        <v>1.1873629375874224E-2</v>
      </c>
      <c r="AD93" s="335">
        <f t="shared" si="85"/>
        <v>1.1814865746256143E-2</v>
      </c>
      <c r="AE93" s="335">
        <f t="shared" si="85"/>
        <v>1.1745504645128978E-2</v>
      </c>
      <c r="AF93" s="335">
        <f t="shared" si="85"/>
        <v>1.1678742019279443E-2</v>
      </c>
      <c r="AG93" s="335">
        <f t="shared" si="85"/>
        <v>1.1637122879685081E-2</v>
      </c>
      <c r="AH93" s="335">
        <f t="shared" ref="AH93:AL93" si="86">AH46/AH$49</f>
        <v>1.1562098365037842E-2</v>
      </c>
      <c r="AI93" s="335">
        <f t="shared" si="86"/>
        <v>1.1471684384648274E-2</v>
      </c>
      <c r="AJ93" s="335">
        <f t="shared" si="86"/>
        <v>1.137880121401009E-2</v>
      </c>
      <c r="AK93" s="335">
        <f t="shared" si="86"/>
        <v>1.1281619283959562E-2</v>
      </c>
      <c r="AL93" s="335">
        <f t="shared" si="86"/>
        <v>1.1191703611794564E-2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2">
      <c r="L94" s="232" t="str">
        <f>'Occ T3'!A49</f>
        <v>92 Elementary administration and service occupations</v>
      </c>
      <c r="M94" s="335">
        <f t="shared" ref="M94:AG94" si="87">M47/M$49</f>
        <v>0.10630417123494601</v>
      </c>
      <c r="N94" s="335">
        <f t="shared" si="87"/>
        <v>9.8247763285302311E-2</v>
      </c>
      <c r="O94" s="335">
        <f t="shared" si="87"/>
        <v>9.9744593678065596E-2</v>
      </c>
      <c r="P94" s="335">
        <f t="shared" si="87"/>
        <v>9.6266062811946912E-2</v>
      </c>
      <c r="Q94" s="335">
        <f t="shared" si="87"/>
        <v>9.6961450706185615E-2</v>
      </c>
      <c r="R94" s="335">
        <f t="shared" si="87"/>
        <v>9.5075329140494602E-2</v>
      </c>
      <c r="S94" s="335">
        <f t="shared" si="87"/>
        <v>9.3383605082191887E-2</v>
      </c>
      <c r="T94" s="335">
        <f t="shared" si="87"/>
        <v>9.4313826720051536E-2</v>
      </c>
      <c r="U94" s="335">
        <f t="shared" si="87"/>
        <v>9.3980681533004234E-2</v>
      </c>
      <c r="V94" s="335">
        <f t="shared" si="87"/>
        <v>9.183831293584066E-2</v>
      </c>
      <c r="W94" s="335">
        <f t="shared" si="87"/>
        <v>8.7086452670062847E-2</v>
      </c>
      <c r="X94" s="335">
        <f t="shared" si="87"/>
        <v>9.0121652502681268E-2</v>
      </c>
      <c r="Y94" s="335">
        <f t="shared" si="87"/>
        <v>8.9656476195609819E-2</v>
      </c>
      <c r="Z94" s="335">
        <f t="shared" si="87"/>
        <v>8.9516381042585608E-2</v>
      </c>
      <c r="AA94" s="335">
        <f t="shared" si="87"/>
        <v>8.9031236354169804E-2</v>
      </c>
      <c r="AB94" s="335">
        <f t="shared" si="87"/>
        <v>8.8407254799882415E-2</v>
      </c>
      <c r="AC94" s="335">
        <f t="shared" si="87"/>
        <v>8.7819833616514575E-2</v>
      </c>
      <c r="AD94" s="335">
        <f t="shared" si="87"/>
        <v>8.7162199210409338E-2</v>
      </c>
      <c r="AE94" s="335">
        <f t="shared" si="87"/>
        <v>8.6419760938169485E-2</v>
      </c>
      <c r="AF94" s="335">
        <f t="shared" si="87"/>
        <v>8.5662621736458236E-2</v>
      </c>
      <c r="AG94" s="335">
        <f t="shared" si="87"/>
        <v>8.5006741309497882E-2</v>
      </c>
      <c r="AH94" s="335">
        <f t="shared" ref="AH94:AL94" si="88">AH47/AH$49</f>
        <v>8.4297587620686371E-2</v>
      </c>
      <c r="AI94" s="335">
        <f t="shared" si="88"/>
        <v>8.3558548300037644E-2</v>
      </c>
      <c r="AJ94" s="335">
        <f t="shared" si="88"/>
        <v>8.281820600451191E-2</v>
      </c>
      <c r="AK94" s="335">
        <f t="shared" si="88"/>
        <v>8.2089499175308861E-2</v>
      </c>
      <c r="AL94" s="335">
        <f t="shared" si="88"/>
        <v>8.1354274254043374E-2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2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2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x14ac:dyDescent="0.2">
      <c r="L116" s="13"/>
      <c r="M116" s="11"/>
      <c r="N116" s="11"/>
      <c r="O116" s="11"/>
      <c r="P116" s="11"/>
    </row>
    <row r="117" spans="1:16" x14ac:dyDescent="0.2">
      <c r="L117" s="13"/>
    </row>
    <row r="118" spans="1:16" ht="15.75" x14ac:dyDescent="0.25">
      <c r="A118" s="79" t="str">
        <f>CONCATENATE("Occupation Figure 2.2  Employment by Occupation, ",$M$2,"-",$O$2,", ",Info!B5)</f>
        <v>Occupation Figure 2.2  Employment by Occupation, 2010-2035, South West</v>
      </c>
    </row>
    <row r="145" spans="12:63" s="80" customFormat="1" x14ac:dyDescent="0.2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75" x14ac:dyDescent="0.25">
      <c r="A164" s="79" t="str">
        <f>CONCATENATE("Occupation Figure 2.3  Change in Employment in ",$L$5,", ",$M$2,"-",$O$2,", ",Info!B5)</f>
        <v>Occupation Figure 2.3  Change in Employment in Managers, directors and senior officials, 2010-2035, South West</v>
      </c>
    </row>
    <row r="180" spans="12:63" s="80" customFormat="1" x14ac:dyDescent="0.2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75" x14ac:dyDescent="0.25">
      <c r="A199" s="79" t="str">
        <f>CONCATENATE("Occupation Figure 2.4  Change in Employment in ",$L$9,", ",$M$2,"-",$O$2,", ",Info!B5)</f>
        <v>Occupation Figure 2.4  Change in Employment in Professional occupations, 2010-2035, South West</v>
      </c>
    </row>
    <row r="215" spans="12:63" s="80" customFormat="1" x14ac:dyDescent="0.2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75" x14ac:dyDescent="0.25">
      <c r="A234" s="79" t="str">
        <f>CONCATENATE("Occupation Figure 2.5  Change in Employment in ",$L$15,", ",$M$2,"-",$O$2,", ",Info!B5)</f>
        <v>Occupation Figure 2.5  Change in Employment in Associate professional occupations, 2010-2035, South West</v>
      </c>
    </row>
    <row r="250" spans="12:63" s="80" customFormat="1" x14ac:dyDescent="0.2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75" x14ac:dyDescent="0.25">
      <c r="A269" s="79" t="str">
        <f>CONCATENATE("Occupation Figure 2.6  Change in Employment in ",$L$22,", ",$M$2,"-",$O$2,", ",Info!B5)</f>
        <v>Occupation Figure 2.6  Change in Employment in Administrative and secretarial occupations, 2010-2035, South West</v>
      </c>
    </row>
    <row r="285" spans="12:63" s="80" customFormat="1" x14ac:dyDescent="0.2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75" x14ac:dyDescent="0.25">
      <c r="A304" s="79" t="str">
        <f>CONCATENATE("Occupation Figure 2.7  Change in Employment in ",$L$26,", ",$M$2,"- ",$O$2,", ",Info!B5)</f>
        <v>Occupation Figure 2.7  Change in Employment in Skilled trades occupations, 2010- 2035, South West</v>
      </c>
    </row>
    <row r="320" spans="12:63" s="80" customFormat="1" x14ac:dyDescent="0.2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75" x14ac:dyDescent="0.25">
      <c r="A339" s="79" t="str">
        <f>CONCATENATE("Occupation Figure 2.8  Change in Employment in ",$L$32,", ",$M$2,"-",$O$2,", ",Info!B5)</f>
        <v>Occupation Figure 2.8  Change in Employment in Caring, leisure and other service occupations, 2010-2035, South West</v>
      </c>
    </row>
    <row r="355" spans="12:63" s="80" customFormat="1" x14ac:dyDescent="0.2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75" x14ac:dyDescent="0.25">
      <c r="A374" s="79" t="str">
        <f>CONCATENATE("Occupation Figure 2.9  Change in Employment in ",$L$37,", ",$M$2,"-",$O$2,", ",Info!B5)</f>
        <v>Occupation Figure 2.9  Change in Employment in Sales and customer service occupations, 2010-2035, South West</v>
      </c>
    </row>
    <row r="390" spans="12:63" s="80" customFormat="1" x14ac:dyDescent="0.2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75" x14ac:dyDescent="0.25">
      <c r="A409" s="79" t="str">
        <f>CONCATENATE("Occupation Figure 2.10  Change in Employment in ",$L$41,", ",$M$2,"-",$O$2,", ",Info!B5)</f>
        <v>Occupation Figure 2.10  Change in Employment in Process, plant and machine operatives, 2010-2035, South West</v>
      </c>
    </row>
    <row r="444" spans="1:1" ht="15.75" x14ac:dyDescent="0.25">
      <c r="A444" s="79" t="str">
        <f>CONCATENATE("Occupation Figure 2.11  Change in Employment in ",$L$45,", ",$M$2,"-",$O$2,", ",Info!B5)</f>
        <v>Occupation Figure 2.11  Change in Employment in Elementary occupations, 2010-2035, South West</v>
      </c>
    </row>
    <row r="479" spans="1:12" ht="15.75" x14ac:dyDescent="0.25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South West</v>
      </c>
      <c r="L479" s="45" t="s">
        <v>423</v>
      </c>
    </row>
    <row r="480" spans="1:12" x14ac:dyDescent="0.2">
      <c r="L480" s="29" t="s">
        <v>424</v>
      </c>
    </row>
    <row r="507" spans="1:12" ht="15.75" x14ac:dyDescent="0.25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West</v>
      </c>
      <c r="L507" s="45" t="s">
        <v>425</v>
      </c>
    </row>
    <row r="508" spans="1:12" x14ac:dyDescent="0.2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South West</v>
      </c>
      <c r="W1" t="str">
        <f>LEFT(X3,4)</f>
        <v>2015</v>
      </c>
      <c r="X1" t="str">
        <f>RIGHT(AC3,4)</f>
        <v>2035</v>
      </c>
    </row>
    <row r="2" spans="1:29" x14ac:dyDescent="0.2">
      <c r="A2" s="1" t="s">
        <v>536</v>
      </c>
      <c r="X2" t="s">
        <v>427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46.393064507105521</v>
      </c>
      <c r="Y4" s="11">
        <f>'Occ T1'!D8-'Occ T1'!C8</f>
        <v>8.5606332049123353</v>
      </c>
      <c r="Z4" s="11">
        <f>'Occ T1'!E8-'Occ T1'!D8</f>
        <v>14.329713183956471</v>
      </c>
      <c r="AA4" s="11">
        <f>'Occ T1'!F8-'Occ T1'!E8</f>
        <v>43.147757855093346</v>
      </c>
      <c r="AB4" s="11">
        <f>'Occ T1'!D8-'Occ T1'!B8</f>
        <v>54.953697712017856</v>
      </c>
      <c r="AC4" s="11">
        <f>'Occ T1'!F8-'Occ T1'!D8</f>
        <v>57.477471039049817</v>
      </c>
    </row>
    <row r="5" spans="1:29" x14ac:dyDescent="0.2">
      <c r="W5" s="10" t="str">
        <f>name!E5</f>
        <v>Professional occupations</v>
      </c>
      <c r="X5" s="11">
        <f>'Occ T1'!C9-'Occ T1'!B9</f>
        <v>76.845990084499022</v>
      </c>
      <c r="Y5" s="11">
        <f>'Occ T1'!D9-'Occ T1'!C9</f>
        <v>20.594996833443702</v>
      </c>
      <c r="Z5" s="11">
        <f>'Occ T1'!E9-'Occ T1'!D9</f>
        <v>62.371576595283727</v>
      </c>
      <c r="AA5" s="11">
        <f>'Occ T1'!F9-'Occ T1'!E9</f>
        <v>94.699555772454573</v>
      </c>
      <c r="AB5" s="11">
        <f>'Occ T1'!D9-'Occ T1'!B9</f>
        <v>97.440986917942723</v>
      </c>
      <c r="AC5" s="11">
        <f>'Occ T1'!F9-'Occ T1'!D9</f>
        <v>157.0711323677383</v>
      </c>
    </row>
    <row r="6" spans="1:29" x14ac:dyDescent="0.2">
      <c r="W6" s="10" t="str">
        <f>name!E6</f>
        <v>Associate professional occupations</v>
      </c>
      <c r="X6" s="11">
        <f>'Occ T1'!C10-'Occ T1'!B10</f>
        <v>29.546007072325779</v>
      </c>
      <c r="Y6" s="11">
        <f>'Occ T1'!D10-'Occ T1'!C10</f>
        <v>14.002447862904489</v>
      </c>
      <c r="Z6" s="11">
        <f>'Occ T1'!E10-'Occ T1'!D10</f>
        <v>0.1803097393809594</v>
      </c>
      <c r="AA6" s="11">
        <f>'Occ T1'!F10-'Occ T1'!E10</f>
        <v>35.679643049562685</v>
      </c>
      <c r="AB6" s="11">
        <f>'Occ T1'!D10-'Occ T1'!B10</f>
        <v>43.548454935230268</v>
      </c>
      <c r="AC6" s="11">
        <f>'Occ T1'!F10-'Occ T1'!D10</f>
        <v>35.859952788943644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-6.9509857634272976</v>
      </c>
      <c r="Y7" s="11">
        <f>'Occ T1'!D11-'Occ T1'!C11</f>
        <v>11.063731581030595</v>
      </c>
      <c r="Z7" s="11">
        <f>'Occ T1'!E11-'Occ T1'!D11</f>
        <v>-14.800927200579338</v>
      </c>
      <c r="AA7" s="11">
        <f>'Occ T1'!F11-'Occ T1'!E11</f>
        <v>-17.910140189137849</v>
      </c>
      <c r="AB7" s="11">
        <f>'Occ T1'!D11-'Occ T1'!B11</f>
        <v>4.1127458176032974</v>
      </c>
      <c r="AC7" s="11">
        <f>'Occ T1'!F11-'Occ T1'!D11</f>
        <v>-32.711067389717186</v>
      </c>
    </row>
    <row r="8" spans="1:29" x14ac:dyDescent="0.2">
      <c r="W8" s="10" t="str">
        <f>name!E8</f>
        <v>Skilled trades occupations</v>
      </c>
      <c r="X8" s="11">
        <f>'Occ T1'!C12-'Occ T1'!B12</f>
        <v>-1.5595069792470895</v>
      </c>
      <c r="Y8" s="11">
        <f>'Occ T1'!D12-'Occ T1'!C12</f>
        <v>-32.370937619401218</v>
      </c>
      <c r="Z8" s="11">
        <f>'Occ T1'!E12-'Occ T1'!D12</f>
        <v>9.1675510925122694</v>
      </c>
      <c r="AA8" s="11">
        <f>'Occ T1'!F12-'Occ T1'!E12</f>
        <v>-0.68989090848003798</v>
      </c>
      <c r="AB8" s="11">
        <f>'Occ T1'!D12-'Occ T1'!B12</f>
        <v>-33.930444598648307</v>
      </c>
      <c r="AC8" s="11">
        <f>'Occ T1'!F12-'Occ T1'!D12</f>
        <v>8.4776601840322314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4.3680592431786636</v>
      </c>
      <c r="Y9" s="11">
        <f>'Occ T1'!D13-'Occ T1'!C13</f>
        <v>-17.353434749110193</v>
      </c>
      <c r="Z9" s="11">
        <f>'Occ T1'!E13-'Occ T1'!D13</f>
        <v>26.408633586132169</v>
      </c>
      <c r="AA9" s="11">
        <f>'Occ T1'!F13-'Occ T1'!E13</f>
        <v>32.573688867095029</v>
      </c>
      <c r="AB9" s="11">
        <f>'Occ T1'!D13-'Occ T1'!B13</f>
        <v>-12.985375505931529</v>
      </c>
      <c r="AC9" s="11">
        <f>'Occ T1'!F13-'Occ T1'!D13</f>
        <v>58.982322453227198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-5.5343965556771479</v>
      </c>
      <c r="Y10" s="11">
        <f>'Occ T1'!D14-'Occ T1'!C14</f>
        <v>2.1236322430960684</v>
      </c>
      <c r="Z10" s="11">
        <f>'Occ T1'!E14-'Occ T1'!D14</f>
        <v>1.9109783360221968</v>
      </c>
      <c r="AA10" s="11">
        <f>'Occ T1'!F14-'Occ T1'!E14</f>
        <v>-0.89298247750599558</v>
      </c>
      <c r="AB10" s="11">
        <f>'Occ T1'!D14-'Occ T1'!B14</f>
        <v>-3.4107643125810796</v>
      </c>
      <c r="AC10" s="11">
        <f>'Occ T1'!F14-'Occ T1'!D14</f>
        <v>1.0179958585162012</v>
      </c>
    </row>
    <row r="11" spans="1:29" x14ac:dyDescent="0.2">
      <c r="W11" s="10" t="str">
        <f>name!E11</f>
        <v>Process, plant and machine operatives</v>
      </c>
      <c r="X11" s="11">
        <f>'Occ T1'!C15-'Occ T1'!B15</f>
        <v>2.8519074880902906</v>
      </c>
      <c r="Y11" s="11">
        <f>'Occ T1'!D15-'Occ T1'!C15</f>
        <v>-17.615637914017896</v>
      </c>
      <c r="Z11" s="11">
        <f>'Occ T1'!E15-'Occ T1'!D15</f>
        <v>18.904965416078852</v>
      </c>
      <c r="AA11" s="11">
        <f>'Occ T1'!F15-'Occ T1'!E15</f>
        <v>1.8650476369868727</v>
      </c>
      <c r="AB11" s="11">
        <f>'Occ T1'!D15-'Occ T1'!B15</f>
        <v>-14.763730425927605</v>
      </c>
      <c r="AC11" s="11">
        <f>'Occ T1'!F15-'Occ T1'!D15</f>
        <v>20.770013053065725</v>
      </c>
    </row>
    <row r="12" spans="1:29" x14ac:dyDescent="0.2">
      <c r="W12" s="10" t="str">
        <f>name!E12</f>
        <v>Elementary occupations</v>
      </c>
      <c r="X12" s="11">
        <f>'Occ T1'!C16-'Occ T1'!B16</f>
        <v>-1.7051390943088336</v>
      </c>
      <c r="Y12" s="11">
        <f>'Occ T1'!D16-'Occ T1'!C16</f>
        <v>-21.525431446045445</v>
      </c>
      <c r="Z12" s="11">
        <f>'Occ T1'!E16-'Occ T1'!D16</f>
        <v>10.595199249081418</v>
      </c>
      <c r="AA12" s="11">
        <f>'Occ T1'!F16-'Occ T1'!E16</f>
        <v>-7.0346796031096801</v>
      </c>
      <c r="AB12" s="11">
        <f>'Occ T1'!D16-'Occ T1'!B16</f>
        <v>-23.230570540354279</v>
      </c>
      <c r="AC12" s="11">
        <f>'Occ T1'!F16-'Occ T1'!D16</f>
        <v>3.5605196459717376</v>
      </c>
    </row>
    <row r="14" spans="1:29" x14ac:dyDescent="0.2">
      <c r="W14" s="10" t="str">
        <f>name!E3</f>
        <v>All occupations</v>
      </c>
      <c r="X14" s="11">
        <f>'Occ T1'!C18-'Occ T1'!B18</f>
        <v>144.25500000253851</v>
      </c>
      <c r="Y14" s="11">
        <f>'Occ T1'!D18-'Occ T1'!C18</f>
        <v>-32.520000003187306</v>
      </c>
      <c r="Z14" s="11">
        <f>'Occ T1'!E18-'Occ T1'!D18</f>
        <v>129.06799999786881</v>
      </c>
      <c r="AA14" s="11">
        <f>'Occ T1'!F18-'Occ T1'!E18</f>
        <v>181.43800000295869</v>
      </c>
      <c r="AB14" s="11">
        <f>'Occ T1'!D18-'Occ T1'!B18</f>
        <v>111.7349999993512</v>
      </c>
      <c r="AC14" s="11">
        <f>'Occ T1'!F18-'Occ T1'!D18</f>
        <v>310.5060000008275</v>
      </c>
    </row>
    <row r="17" spans="23:26" x14ac:dyDescent="0.2">
      <c r="Y17" s="82" t="s">
        <v>442</v>
      </c>
      <c r="Z17" s="82" t="s">
        <v>443</v>
      </c>
    </row>
    <row r="18" spans="23:26" x14ac:dyDescent="0.2">
      <c r="W18" s="82" t="s">
        <v>444</v>
      </c>
      <c r="X18">
        <f>CEILING(MAX(X4:AA12),IF(MAX(X4:AA12)&lt;100,10,IF(MAX(X4:AA12)&lt;1000,100,1000)))</f>
        <v>100</v>
      </c>
      <c r="Y18">
        <f>MAX(X18,(X19*-1))</f>
        <v>100</v>
      </c>
      <c r="Z18">
        <f>IF(Y18&gt;1000,1000,IF(Y18&gt;500,500,IF(Y18&gt;100,100,IF(Y18&gt;40,20,10))))</f>
        <v>20</v>
      </c>
    </row>
    <row r="19" spans="23:26" x14ac:dyDescent="0.2">
      <c r="W19" s="82" t="s">
        <v>445</v>
      </c>
      <c r="X19">
        <f>FLOOR(MIN(X4:AA12),IF(MIN(X4:AA12)&gt;-100,10,IF(MIN(X4:AA12)&gt;-1000,100,1000)))</f>
        <v>-40</v>
      </c>
      <c r="Y19">
        <f>Y18*-1</f>
        <v>-100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79" t="str">
        <f>CONCATENATE("Occupation Figure 4  Occupational Change by Gender (000s) (SOC 2020), ",N1,", ",Info!B5)</f>
        <v>Occupation Figure 4  Occupational Change by Gender (000s) (SOC 2020), 2020-2035, South West</v>
      </c>
      <c r="M1" s="82" t="s">
        <v>18</v>
      </c>
      <c r="N1" t="str">
        <f>'Occ T1'!F62</f>
        <v>2020-2035</v>
      </c>
    </row>
    <row r="2" spans="1:16" x14ac:dyDescent="0.2">
      <c r="A2" s="1" t="s">
        <v>536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2">
      <c r="M3" s="10" t="str">
        <f>name!E4</f>
        <v>Managers, directors and senior officials</v>
      </c>
      <c r="N3" s="11">
        <f>'Occ T1'!F64</f>
        <v>57.477471039049817</v>
      </c>
      <c r="O3" s="11">
        <f>'Occ T1'!AB64</f>
        <v>27.495117694548526</v>
      </c>
      <c r="P3" s="11">
        <f>'Occ T1'!Q64</f>
        <v>29.982353344501917</v>
      </c>
    </row>
    <row r="4" spans="1:16" x14ac:dyDescent="0.2">
      <c r="M4" s="10" t="str">
        <f>name!E5</f>
        <v>Professional occupations</v>
      </c>
      <c r="N4" s="11">
        <f>'Occ T1'!F65</f>
        <v>157.0711323677383</v>
      </c>
      <c r="O4" s="11">
        <f>'Occ T1'!AB65</f>
        <v>88.468582046702863</v>
      </c>
      <c r="P4" s="11">
        <f>'Occ T1'!Q65</f>
        <v>68.602550321035665</v>
      </c>
    </row>
    <row r="5" spans="1:16" x14ac:dyDescent="0.2">
      <c r="M5" s="10" t="str">
        <f>name!E6</f>
        <v>Associate professional occupations</v>
      </c>
      <c r="N5" s="11">
        <f>'Occ T1'!F66</f>
        <v>35.859952788943644</v>
      </c>
      <c r="O5" s="11">
        <f>'Occ T1'!AB66</f>
        <v>36.471976953617286</v>
      </c>
      <c r="P5" s="11">
        <f>'Occ T1'!Q66</f>
        <v>-0.6120241646739828</v>
      </c>
    </row>
    <row r="6" spans="1:16" x14ac:dyDescent="0.2">
      <c r="M6" s="10" t="str">
        <f>name!E7</f>
        <v>Administrative and secretarial occupations</v>
      </c>
      <c r="N6" s="11">
        <f>'Occ T1'!F67</f>
        <v>-32.711067389717186</v>
      </c>
      <c r="O6" s="11">
        <f>'Occ T1'!AB67</f>
        <v>-35.68884351594707</v>
      </c>
      <c r="P6" s="11">
        <f>'Occ T1'!Q67</f>
        <v>2.9777761262302533</v>
      </c>
    </row>
    <row r="7" spans="1:16" x14ac:dyDescent="0.2">
      <c r="M7" s="10" t="str">
        <f>name!E8</f>
        <v>Skilled trades occupations</v>
      </c>
      <c r="N7" s="11">
        <f>'Occ T1'!F68</f>
        <v>8.4776601840322314</v>
      </c>
      <c r="O7" s="11">
        <f>'Occ T1'!AB68</f>
        <v>9.7199489538414241</v>
      </c>
      <c r="P7" s="11">
        <f>'Occ T1'!Q68</f>
        <v>-1.2422887698093632</v>
      </c>
    </row>
    <row r="8" spans="1:16" x14ac:dyDescent="0.2">
      <c r="M8" s="10" t="str">
        <f>name!E9</f>
        <v>Caring, leisure and other service occupations</v>
      </c>
      <c r="N8" s="11">
        <f>'Occ T1'!F69</f>
        <v>58.982322453227198</v>
      </c>
      <c r="O8" s="11">
        <f>'Occ T1'!AB69</f>
        <v>43.972976829714582</v>
      </c>
      <c r="P8" s="11">
        <f>'Occ T1'!Q69</f>
        <v>15.009345623512544</v>
      </c>
    </row>
    <row r="9" spans="1:16" x14ac:dyDescent="0.2">
      <c r="M9" s="10" t="str">
        <f>name!E10</f>
        <v>Sales and customer service occupations</v>
      </c>
      <c r="N9" s="11">
        <f>'Occ T1'!F70</f>
        <v>1.0179958585162012</v>
      </c>
      <c r="O9" s="11">
        <f>'Occ T1'!AB70</f>
        <v>-5.4942472829261817</v>
      </c>
      <c r="P9" s="11">
        <f>'Occ T1'!Q70</f>
        <v>6.5122431414425961</v>
      </c>
    </row>
    <row r="10" spans="1:16" x14ac:dyDescent="0.2">
      <c r="M10" s="10" t="str">
        <f>name!E11</f>
        <v>Process, plant and machine operatives</v>
      </c>
      <c r="N10" s="11">
        <f>'Occ T1'!F71</f>
        <v>20.770013053065725</v>
      </c>
      <c r="O10" s="11">
        <f>'Occ T1'!AB71</f>
        <v>10.377092151209109</v>
      </c>
      <c r="P10" s="11">
        <f>'Occ T1'!Q71</f>
        <v>10.392920901856371</v>
      </c>
    </row>
    <row r="11" spans="1:16" x14ac:dyDescent="0.2">
      <c r="M11" s="10" t="str">
        <f>name!E12</f>
        <v>Elementary occupations</v>
      </c>
      <c r="N11" s="11">
        <f>'Occ T1'!F72</f>
        <v>3.5605196459717376</v>
      </c>
      <c r="O11" s="11">
        <f>'Occ T1'!AB72</f>
        <v>2.724396171962411</v>
      </c>
      <c r="P11" s="11">
        <f>'Occ T1'!Q72</f>
        <v>0.83612347400983822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310.5060000008275</v>
      </c>
      <c r="O13" s="11">
        <f>'Occ T1'!AB74</f>
        <v>178.0470000027226</v>
      </c>
      <c r="P13" s="11">
        <f>'Occ T1'!Q74</f>
        <v>132.45899999810649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3" max="13" width="36" customWidth="1"/>
    <col min="14" max="14" width="19.5703125" customWidth="1"/>
  </cols>
  <sheetData>
    <row r="1" spans="1:16" ht="15.75" x14ac:dyDescent="0.25">
      <c r="A1" s="79" t="str">
        <f>CONCATENATE("Occupation Figure 5  Occupational Change by Status (000s) (SOC 2020), ",N1,", ",Info!B5)</f>
        <v>Occupation Figure 5  Occupational Change by Status (000s) (SOC 2020), 2020-2035, South West</v>
      </c>
      <c r="M1" s="82" t="s">
        <v>18</v>
      </c>
      <c r="N1" t="str">
        <f>'Ind Occ T2'!G6&amp;"-"&amp;'Ind Occ T2'!L6</f>
        <v>2020-2035</v>
      </c>
    </row>
    <row r="2" spans="1:16" x14ac:dyDescent="0.2">
      <c r="A2" s="1" t="s">
        <v>536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2">
      <c r="M3" s="10" t="str">
        <f>name!E4</f>
        <v>Managers, directors and senior officials</v>
      </c>
      <c r="N3" s="11">
        <f>'Occ T5'!I44</f>
        <v>12.43903753988171</v>
      </c>
      <c r="O3" s="11">
        <f>'Occ T5'!H44</f>
        <v>13.071347146522037</v>
      </c>
      <c r="P3" s="11">
        <f>'Occ T5'!G44</f>
        <v>31.967086352646817</v>
      </c>
    </row>
    <row r="4" spans="1:16" x14ac:dyDescent="0.2">
      <c r="M4" s="10" t="str">
        <f>name!E5</f>
        <v>Professional occupations</v>
      </c>
      <c r="N4" s="11">
        <f>'Occ T5'!I45</f>
        <v>3.3484055372328783</v>
      </c>
      <c r="O4" s="11">
        <f>'Occ T5'!H45</f>
        <v>45.800123284391901</v>
      </c>
      <c r="P4" s="11">
        <f>'Occ T5'!G45</f>
        <v>107.92260354611449</v>
      </c>
    </row>
    <row r="5" spans="1:16" x14ac:dyDescent="0.2">
      <c r="M5" s="10" t="str">
        <f>name!E6</f>
        <v>Associate professional occupations</v>
      </c>
      <c r="N5" s="11">
        <f>'Occ T5'!I46</f>
        <v>9.7573533166936386</v>
      </c>
      <c r="O5" s="11">
        <f>'Occ T5'!H46</f>
        <v>12.830638699745947</v>
      </c>
      <c r="P5" s="11">
        <f>'Occ T5'!G46</f>
        <v>13.271960772503263</v>
      </c>
    </row>
    <row r="6" spans="1:16" x14ac:dyDescent="0.2">
      <c r="M6" s="10" t="str">
        <f>name!E7</f>
        <v>Administrative and secretarial occupations</v>
      </c>
      <c r="N6" s="11">
        <f>'Occ T5'!I47</f>
        <v>4.3872973789963652</v>
      </c>
      <c r="O6" s="11">
        <f>'Occ T5'!H47</f>
        <v>-16.194211126960894</v>
      </c>
      <c r="P6" s="11">
        <f>'Occ T5'!G47</f>
        <v>-20.904153641752686</v>
      </c>
    </row>
    <row r="7" spans="1:16" x14ac:dyDescent="0.2">
      <c r="M7" s="10" t="str">
        <f>name!E8</f>
        <v>Skilled trades occupations</v>
      </c>
      <c r="N7" s="11">
        <f>'Occ T5'!I48</f>
        <v>15.503045612503072</v>
      </c>
      <c r="O7" s="11">
        <f>'Occ T5'!H48</f>
        <v>5.5810232697547129</v>
      </c>
      <c r="P7" s="11">
        <f>'Occ T5'!G48</f>
        <v>-12.606408698225977</v>
      </c>
    </row>
    <row r="8" spans="1:16" x14ac:dyDescent="0.2">
      <c r="M8" s="10" t="str">
        <f>name!E9</f>
        <v>Caring, leisure and other service occupations</v>
      </c>
      <c r="N8" s="11">
        <f>'Occ T5'!I49</f>
        <v>11.421109670856893</v>
      </c>
      <c r="O8" s="11">
        <f>'Occ T5'!H49</f>
        <v>18.329377559697463</v>
      </c>
      <c r="P8" s="11">
        <f>'Occ T5'!G49</f>
        <v>29.231835222672927</v>
      </c>
    </row>
    <row r="9" spans="1:16" x14ac:dyDescent="0.2">
      <c r="M9" s="10" t="str">
        <f>name!E10</f>
        <v>Sales and customer service occupations</v>
      </c>
      <c r="N9" s="11">
        <f>'Occ T5'!I50</f>
        <v>-2.1553609706479939</v>
      </c>
      <c r="O9" s="11">
        <f>'Occ T5'!H50</f>
        <v>3.8704361268755747</v>
      </c>
      <c r="P9" s="11">
        <f>'Occ T5'!G50</f>
        <v>-0.69707929771131205</v>
      </c>
    </row>
    <row r="10" spans="1:16" x14ac:dyDescent="0.2">
      <c r="M10" s="10" t="str">
        <f>name!E11</f>
        <v>Process, plant and machine operatives</v>
      </c>
      <c r="N10" s="11">
        <f>'Occ T5'!I51</f>
        <v>5.8178688656926987</v>
      </c>
      <c r="O10" s="11">
        <f>'Occ T5'!H51</f>
        <v>11.151084960160187</v>
      </c>
      <c r="P10" s="11">
        <f>'Occ T5'!G51</f>
        <v>3.80105922721242</v>
      </c>
    </row>
    <row r="11" spans="1:16" x14ac:dyDescent="0.2">
      <c r="M11" s="10" t="str">
        <f>name!E12</f>
        <v>Elementary occupations</v>
      </c>
      <c r="N11" s="11">
        <f>'Occ T5'!I52</f>
        <v>12.175243050891019</v>
      </c>
      <c r="O11" s="11">
        <f>'Occ T5'!H52</f>
        <v>-9.9848199243824922</v>
      </c>
      <c r="P11" s="11">
        <f>'Occ T5'!G52</f>
        <v>1.3700965194634449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72.694000002100438</v>
      </c>
      <c r="O13" s="11">
        <f>'Occ T5'!H54</f>
        <v>84.454999995804542</v>
      </c>
      <c r="P13" s="11">
        <f>'Occ T5'!G54</f>
        <v>153.35700000292354</v>
      </c>
    </row>
    <row r="16" spans="1:16" x14ac:dyDescent="0.2">
      <c r="M16" s="82" t="s">
        <v>18</v>
      </c>
      <c r="N16" t="str">
        <f>N1</f>
        <v>2020-2035</v>
      </c>
    </row>
    <row r="17" spans="13:16" x14ac:dyDescent="0.2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2">
      <c r="M18" s="10" t="str">
        <f>M3</f>
        <v>Managers, directors and senior officials</v>
      </c>
      <c r="N18" s="11">
        <f>'Occ T5'!AO44</f>
        <v>2.7539049667290385</v>
      </c>
      <c r="O18" s="11">
        <f>'Occ T5'!AN44</f>
        <v>6.6656263016753279</v>
      </c>
      <c r="P18" s="11">
        <f>'Occ T5'!AM44</f>
        <v>18.075586426144326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5.2073024108258821</v>
      </c>
      <c r="O19" s="11">
        <f>'Occ T5'!AN45</f>
        <v>32.592888319866674</v>
      </c>
      <c r="P19" s="11">
        <f>'Occ T5'!AM45</f>
        <v>50.668391316010627</v>
      </c>
    </row>
    <row r="20" spans="13:16" x14ac:dyDescent="0.2">
      <c r="M20" s="10" t="str">
        <f t="shared" si="0"/>
        <v>Associate professional occupations</v>
      </c>
      <c r="N20" s="11">
        <f>'Occ T5'!AO46</f>
        <v>6.4640789438700992</v>
      </c>
      <c r="O20" s="11">
        <f>'Occ T5'!AN46</f>
        <v>13.069649645105237</v>
      </c>
      <c r="P20" s="11">
        <f>'Occ T5'!AM46</f>
        <v>16.938248364641751</v>
      </c>
    </row>
    <row r="21" spans="13:16" x14ac:dyDescent="0.2">
      <c r="M21" s="10" t="str">
        <f t="shared" si="0"/>
        <v>Administrative and secretarial occupations</v>
      </c>
      <c r="N21" s="11">
        <f>'Occ T5'!AO47</f>
        <v>3.0758550430434646</v>
      </c>
      <c r="O21" s="11">
        <f>'Occ T5'!AN47</f>
        <v>-14.371137615080272</v>
      </c>
      <c r="P21" s="11">
        <f>'Occ T5'!AM47</f>
        <v>-24.393560943910543</v>
      </c>
    </row>
    <row r="22" spans="13:16" x14ac:dyDescent="0.2">
      <c r="M22" s="10" t="str">
        <f t="shared" si="0"/>
        <v>Skilled trades occupations</v>
      </c>
      <c r="N22" s="11">
        <f>'Occ T5'!AO48</f>
        <v>2.2465777920599308</v>
      </c>
      <c r="O22" s="11">
        <f>'Occ T5'!AN48</f>
        <v>2.041069205149002</v>
      </c>
      <c r="P22" s="11">
        <f>'Occ T5'!AM48</f>
        <v>5.4323019566324984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7.7452532833198795</v>
      </c>
      <c r="O23" s="11">
        <f>'Occ T5'!AN49</f>
        <v>14.321884712231281</v>
      </c>
      <c r="P23" s="11">
        <f>'Occ T5'!AM49</f>
        <v>21.905838834163546</v>
      </c>
    </row>
    <row r="24" spans="13:16" x14ac:dyDescent="0.2">
      <c r="M24" s="10" t="str">
        <f t="shared" si="0"/>
        <v>Sales and customer service occupations</v>
      </c>
      <c r="N24" s="11">
        <f>'Occ T5'!AO50</f>
        <v>-1.1900742988125312</v>
      </c>
      <c r="O24" s="11">
        <f>'Occ T5'!AN50</f>
        <v>-2.8260108551165786E-3</v>
      </c>
      <c r="P24" s="11">
        <f>'Occ T5'!AM50</f>
        <v>-4.3013469732584468</v>
      </c>
    </row>
    <row r="25" spans="13:16" x14ac:dyDescent="0.2">
      <c r="M25" s="10" t="str">
        <f t="shared" si="0"/>
        <v>Process, plant and machine operatives</v>
      </c>
      <c r="N25" s="11">
        <f>'Occ T5'!AO51</f>
        <v>2.1681717386716279</v>
      </c>
      <c r="O25" s="11">
        <f>'Occ T5'!AN51</f>
        <v>6.0071672410507624</v>
      </c>
      <c r="P25" s="11">
        <f>'Occ T5'!AM51</f>
        <v>2.2017531714868017</v>
      </c>
    </row>
    <row r="26" spans="13:16" x14ac:dyDescent="0.2">
      <c r="M26" s="10" t="str">
        <f t="shared" si="0"/>
        <v>Elementary occupations</v>
      </c>
      <c r="N26" s="11">
        <f>'Occ T5'!AO52</f>
        <v>6.6069301235689846</v>
      </c>
      <c r="O26" s="11">
        <f>'Occ T5'!AN52</f>
        <v>-12.240321802933835</v>
      </c>
      <c r="P26" s="11">
        <f>'Occ T5'!AM52</f>
        <v>8.3577878513269823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35.078000003276372</v>
      </c>
      <c r="O28" s="11">
        <f>'Occ T5'!AN54</f>
        <v>48.083999996209059</v>
      </c>
      <c r="P28" s="11">
        <f>'Occ T5'!AM54</f>
        <v>94.885000003237565</v>
      </c>
    </row>
    <row r="31" spans="13:16" x14ac:dyDescent="0.2">
      <c r="M31" s="82" t="s">
        <v>18</v>
      </c>
      <c r="N31" t="str">
        <f>N1</f>
        <v>2020-2035</v>
      </c>
    </row>
    <row r="32" spans="13:16" x14ac:dyDescent="0.2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2">
      <c r="M33" s="10" t="str">
        <f>M3</f>
        <v>Managers, directors and senior officials</v>
      </c>
      <c r="N33" s="11">
        <f>'Occ T5'!Y44</f>
        <v>9.6851325731526998</v>
      </c>
      <c r="O33" s="11">
        <f>'Occ T5'!X44</f>
        <v>6.4057208448467637</v>
      </c>
      <c r="P33" s="11">
        <f>'Occ T5'!W44</f>
        <v>13.891499926502689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-1.8588968735930891</v>
      </c>
      <c r="O34" s="11">
        <f>'Occ T5'!X45</f>
        <v>13.207234964525227</v>
      </c>
      <c r="P34" s="11">
        <f>'Occ T5'!W45</f>
        <v>57.254212230103576</v>
      </c>
    </row>
    <row r="35" spans="1:16" x14ac:dyDescent="0.2">
      <c r="M35" s="10" t="str">
        <f t="shared" si="1"/>
        <v>Associate professional occupations</v>
      </c>
      <c r="N35" s="11">
        <f>'Occ T5'!Y46</f>
        <v>3.2932743728235288</v>
      </c>
      <c r="O35" s="11">
        <f>'Occ T5'!X46</f>
        <v>-0.23901094535927569</v>
      </c>
      <c r="P35" s="11">
        <f>'Occ T5'!W46</f>
        <v>-3.6662875921383886</v>
      </c>
    </row>
    <row r="36" spans="1:16" x14ac:dyDescent="0.2">
      <c r="M36" s="10" t="str">
        <f t="shared" si="1"/>
        <v>Administrative and secretarial occupations</v>
      </c>
      <c r="N36" s="11">
        <f>'Occ T5'!Y47</f>
        <v>1.311442335952917</v>
      </c>
      <c r="O36" s="11">
        <f>'Occ T5'!X47</f>
        <v>-1.8230735118806827</v>
      </c>
      <c r="P36" s="11">
        <f>'Occ T5'!W47</f>
        <v>3.489407302157872</v>
      </c>
    </row>
    <row r="37" spans="1:16" x14ac:dyDescent="0.2">
      <c r="M37" s="10" t="str">
        <f t="shared" si="1"/>
        <v>Skilled trades occupations</v>
      </c>
      <c r="N37" s="11">
        <f>'Occ T5'!Y48</f>
        <v>13.25646782044312</v>
      </c>
      <c r="O37" s="11">
        <f>'Occ T5'!X48</f>
        <v>3.5399540646056877</v>
      </c>
      <c r="P37" s="11">
        <f>'Occ T5'!W48</f>
        <v>-18.038710654858434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3.6758563875370216</v>
      </c>
      <c r="O38" s="11">
        <f>'Occ T5'!X49</f>
        <v>4.0074928474661125</v>
      </c>
      <c r="P38" s="11">
        <f>'Occ T5'!W49</f>
        <v>7.3259963885093526</v>
      </c>
    </row>
    <row r="39" spans="1:16" x14ac:dyDescent="0.2">
      <c r="M39" s="10" t="str">
        <f t="shared" si="1"/>
        <v>Sales and customer service occupations</v>
      </c>
      <c r="N39" s="11">
        <f>'Occ T5'!Y50</f>
        <v>-0.96528667183546268</v>
      </c>
      <c r="O39" s="11">
        <f>'Occ T5'!X50</f>
        <v>3.8732621377306842</v>
      </c>
      <c r="P39" s="11">
        <f>'Occ T5'!W50</f>
        <v>3.6042676755471135</v>
      </c>
    </row>
    <row r="40" spans="1:16" ht="15.75" x14ac:dyDescent="0.25">
      <c r="A40" s="79" t="str">
        <f>CONCATENATE("Occupation Figure 5.1 Females:  Occupational Change by Status (000s) (SOC 2020), ",N1,", ",Info!B5)</f>
        <v>Occupation Figure 5.1 Females:  Occupational Change by Status (000s) (SOC 2020), 2020-2035, South West</v>
      </c>
      <c r="M40" s="10" t="str">
        <f t="shared" si="1"/>
        <v>Process, plant and machine operatives</v>
      </c>
      <c r="N40" s="11">
        <f>'Occ T5'!Y51</f>
        <v>3.6496971270210885</v>
      </c>
      <c r="O40" s="11">
        <f>'Occ T5'!X51</f>
        <v>5.143917719109421</v>
      </c>
      <c r="P40" s="11">
        <f>'Occ T5'!W51</f>
        <v>1.5993060557255347</v>
      </c>
    </row>
    <row r="41" spans="1:16" x14ac:dyDescent="0.2">
      <c r="M41" s="10" t="str">
        <f t="shared" si="1"/>
        <v>Elementary occupations</v>
      </c>
      <c r="N41" s="11">
        <f>'Occ T5'!Y52</f>
        <v>5.5683129273219958</v>
      </c>
      <c r="O41" s="11">
        <f>'Occ T5'!X52</f>
        <v>2.2555018785513994</v>
      </c>
      <c r="P41" s="11">
        <f>'Occ T5'!W52</f>
        <v>-6.9876913318637577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37.615999998823838</v>
      </c>
      <c r="O43" s="11">
        <f>'Occ T5'!X54</f>
        <v>36.370999999595398</v>
      </c>
      <c r="P43" s="11">
        <f>'Occ T5'!W54</f>
        <v>58.471999999685522</v>
      </c>
    </row>
    <row r="79" spans="1:1" ht="15.75" x14ac:dyDescent="0.25">
      <c r="A79" s="79" t="str">
        <f>CONCATENATE("Occupation Figure 5.2 Males:  Occupational Change by Status (000s) (SOC 2020), ",N1,", ",Info!B5)</f>
        <v>Occupation Figure 5.2 Males:  Occupational Change by Status (000s) (SOC 2020), 2020-2035, South West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8" t="str">
        <f>CONCATENATE("Qualification Table 1  Employment by Qualification, ",B$3,"-",F$3,", ",Info!B5)</f>
        <v>Qualification Table 1  Employment by Qualification, 2015-2035, South West</v>
      </c>
    </row>
    <row r="2" spans="1:7" x14ac:dyDescent="0.2">
      <c r="A2" s="1" t="s">
        <v>539</v>
      </c>
    </row>
    <row r="3" spans="1:7" x14ac:dyDescent="0.2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F1'!$M$4:$BZ$14,11,FALSE)</f>
        <v>36.756242917957152</v>
      </c>
      <c r="C5" s="11">
        <f>HLOOKUP(C$3,'Qual F1'!$M$4:$BZ$14,11,FALSE)</f>
        <v>48.026875781215693</v>
      </c>
      <c r="D5" s="11">
        <f>HLOOKUP(D$3,'Qual F1'!$M$4:$BZ$14,11,FALSE)</f>
        <v>47.134788614306871</v>
      </c>
      <c r="E5" s="11">
        <f>HLOOKUP(E$3,'Qual F1'!$M$4:$BZ$14,11,FALSE)</f>
        <v>62.055867743673161</v>
      </c>
      <c r="F5" s="11">
        <f>HLOOKUP(F$3,'Qual F1'!$M$4:$BZ$14,11,FALSE)</f>
        <v>91.885931833206627</v>
      </c>
      <c r="G5" s="11"/>
    </row>
    <row r="6" spans="1:7" x14ac:dyDescent="0.2">
      <c r="A6" t="str">
        <f>name!F5</f>
        <v>RQF7 Other higher degree</v>
      </c>
      <c r="B6" s="11">
        <f>HLOOKUP(B$3,'Qual F1'!$M$4:$BZ$14,10,FALSE)</f>
        <v>244.79959119353103</v>
      </c>
      <c r="C6" s="11">
        <f>HLOOKUP(C$3,'Qual F1'!$M$4:$BZ$14,10,FALSE)</f>
        <v>322.05086189838062</v>
      </c>
      <c r="D6" s="11">
        <f>HLOOKUP(D$3,'Qual F1'!$M$4:$BZ$14,10,FALSE)</f>
        <v>327.95542549331373</v>
      </c>
      <c r="E6" s="11">
        <f>HLOOKUP(E$3,'Qual F1'!$M$4:$BZ$14,10,FALSE)</f>
        <v>428.57213033934653</v>
      </c>
      <c r="F6" s="11">
        <f>HLOOKUP(F$3,'Qual F1'!$M$4:$BZ$14,10,FALSE)</f>
        <v>636.98770723168047</v>
      </c>
      <c r="G6" s="11"/>
    </row>
    <row r="7" spans="1:7" x14ac:dyDescent="0.2">
      <c r="A7" t="str">
        <f>name!F6</f>
        <v>RQF6 First degree</v>
      </c>
      <c r="B7" s="11">
        <f>HLOOKUP(B$3,'Qual F1'!$M$4:$BZ$14,9,FALSE)</f>
        <v>522.05844291683695</v>
      </c>
      <c r="C7" s="11">
        <f>HLOOKUP(C$3,'Qual F1'!$M$4:$BZ$14,9,FALSE)</f>
        <v>542.26972022748396</v>
      </c>
      <c r="D7" s="11">
        <f>HLOOKUP(D$3,'Qual F1'!$M$4:$BZ$14,9,FALSE)</f>
        <v>569.67034480156542</v>
      </c>
      <c r="E7" s="11">
        <f>HLOOKUP(E$3,'Qual F1'!$M$4:$BZ$14,9,FALSE)</f>
        <v>640.12110870664571</v>
      </c>
      <c r="F7" s="11">
        <f>HLOOKUP(F$3,'Qual F1'!$M$4:$BZ$14,9,FALSE)</f>
        <v>728.25370570102302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F1'!$M$4:$BZ$14,8,FALSE)</f>
        <v>166.10502830185317</v>
      </c>
      <c r="C8" s="11">
        <f>HLOOKUP(C$3,'Qual F1'!$M$4:$BZ$14,8,FALSE)</f>
        <v>151.32540199834628</v>
      </c>
      <c r="D8" s="11">
        <f>HLOOKUP(D$3,'Qual F1'!$M$4:$BZ$14,8,FALSE)</f>
        <v>159.48966179180348</v>
      </c>
      <c r="E8" s="11">
        <f>HLOOKUP(E$3,'Qual F1'!$M$4:$BZ$14,8,FALSE)</f>
        <v>167.91953768433783</v>
      </c>
      <c r="F8" s="11">
        <f>HLOOKUP(F$3,'Qual F1'!$M$4:$BZ$14,8,FALSE)</f>
        <v>186.36959050016733</v>
      </c>
      <c r="G8" s="11"/>
    </row>
    <row r="9" spans="1:7" x14ac:dyDescent="0.2">
      <c r="A9" t="str">
        <f>name!F8</f>
        <v>RQF4 HE below degree level</v>
      </c>
      <c r="B9" s="11">
        <f>HLOOKUP(B$3,'Qual F1'!$M$4:$BZ$14,7,FALSE)</f>
        <v>151.81590298912073</v>
      </c>
      <c r="C9" s="11">
        <f>HLOOKUP(C$3,'Qual F1'!$M$4:$BZ$14,7,FALSE)</f>
        <v>152.21409209239607</v>
      </c>
      <c r="D9" s="11">
        <f>HLOOKUP(D$3,'Qual F1'!$M$4:$BZ$14,7,FALSE)</f>
        <v>159.86246551235334</v>
      </c>
      <c r="E9" s="11">
        <f>HLOOKUP(E$3,'Qual F1'!$M$4:$BZ$14,7,FALSE)</f>
        <v>176.33950915990192</v>
      </c>
      <c r="F9" s="11">
        <f>HLOOKUP(F$3,'Qual F1'!$M$4:$BZ$14,7,FALSE)</f>
        <v>200.54900732775172</v>
      </c>
      <c r="G9" s="11"/>
    </row>
    <row r="10" spans="1:7" x14ac:dyDescent="0.2">
      <c r="A10" t="str">
        <f>name!F9</f>
        <v>RQF3 A level &amp; equivalent</v>
      </c>
      <c r="B10" s="11">
        <f>HLOOKUP(B$3,'Qual F1'!$M$4:$BZ$14,6,FALSE)</f>
        <v>635.25333858653096</v>
      </c>
      <c r="C10" s="11">
        <f>HLOOKUP(C$3,'Qual F1'!$M$4:$BZ$14,6,FALSE)</f>
        <v>672.2714357842442</v>
      </c>
      <c r="D10" s="11">
        <f>HLOOKUP(D$3,'Qual F1'!$M$4:$BZ$14,6,FALSE)</f>
        <v>641.26058900496503</v>
      </c>
      <c r="E10" s="11">
        <f>HLOOKUP(E$3,'Qual F1'!$M$4:$BZ$14,6,FALSE)</f>
        <v>664.2521664369774</v>
      </c>
      <c r="F10" s="11">
        <f>HLOOKUP(F$3,'Qual F1'!$M$4:$BZ$14,6,FALSE)</f>
        <v>693.86284553455664</v>
      </c>
      <c r="G10" s="11"/>
    </row>
    <row r="11" spans="1:7" x14ac:dyDescent="0.2">
      <c r="A11" t="str">
        <f>name!F10</f>
        <v>RQF2 GCSE(A-C) &amp; equivalent</v>
      </c>
      <c r="B11" s="11">
        <f>HLOOKUP(B$3,'Qual F1'!$M$4:$BZ$14,5,FALSE)</f>
        <v>617.45326690283457</v>
      </c>
      <c r="C11" s="11">
        <f>HLOOKUP(C$3,'Qual F1'!$M$4:$BZ$14,5,FALSE)</f>
        <v>584.65545940073844</v>
      </c>
      <c r="D11" s="11">
        <f>HLOOKUP(D$3,'Qual F1'!$M$4:$BZ$14,5,FALSE)</f>
        <v>554.22503662659665</v>
      </c>
      <c r="E11" s="11">
        <f>HLOOKUP(E$3,'Qual F1'!$M$4:$BZ$14,5,FALSE)</f>
        <v>509.20118907411359</v>
      </c>
      <c r="F11" s="11">
        <f>HLOOKUP(F$3,'Qual F1'!$M$4:$BZ$14,5,FALSE)</f>
        <v>403.81458697048708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F1'!$M$4:$BZ$14,4,FALSE)</f>
        <v>350.50715207300198</v>
      </c>
      <c r="C12" s="11">
        <f>HLOOKUP(C$3,'Qual F1'!$M$4:$BZ$14,4,FALSE)</f>
        <v>404.26982468985273</v>
      </c>
      <c r="D12" s="11">
        <f>HLOOKUP(D$3,'Qual F1'!$M$4:$BZ$14,4,FALSE)</f>
        <v>366.97985469794963</v>
      </c>
      <c r="E12" s="11">
        <f>HLOOKUP(E$3,'Qual F1'!$M$4:$BZ$14,4,FALSE)</f>
        <v>333.26478368454997</v>
      </c>
      <c r="F12" s="11">
        <f>HLOOKUP(F$3,'Qual F1'!$M$4:$BZ$14,4,FALSE)</f>
        <v>240.34462131676767</v>
      </c>
      <c r="G12" s="11"/>
    </row>
    <row r="13" spans="1:7" x14ac:dyDescent="0.2">
      <c r="A13" t="str">
        <f>name!F12</f>
        <v>No Qualification</v>
      </c>
      <c r="B13" s="11">
        <f>HLOOKUP(B$3,'Qual F1'!$M$4:$BZ$14,3,FALSE)</f>
        <v>93.103034115447088</v>
      </c>
      <c r="C13" s="11">
        <f>HLOOKUP(C$3,'Qual F1'!$M$4:$BZ$14,3,FALSE)</f>
        <v>85.023328126993917</v>
      </c>
      <c r="D13" s="11">
        <f>HLOOKUP(D$3,'Qual F1'!$M$4:$BZ$14,3,FALSE)</f>
        <v>103.00883345360943</v>
      </c>
      <c r="E13" s="11">
        <f>HLOOKUP(E$3,'Qual F1'!$M$4:$BZ$14,3,FALSE)</f>
        <v>76.928707164782253</v>
      </c>
      <c r="F13" s="11">
        <f>HLOOKUP(F$3,'Qual F1'!$M$4:$BZ$14,3,FALSE)</f>
        <v>58.02500358165338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2817.8519999971136</v>
      </c>
      <c r="C15" s="11">
        <f t="shared" ref="C15:F15" si="0">SUM(C5:C13)</f>
        <v>2962.1069999996516</v>
      </c>
      <c r="D15" s="11">
        <f t="shared" si="0"/>
        <v>2929.5869999964634</v>
      </c>
      <c r="E15" s="11">
        <f t="shared" si="0"/>
        <v>3058.6549999943286</v>
      </c>
      <c r="F15" s="11">
        <f t="shared" si="0"/>
        <v>3240.0929999972941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2">
      <c r="A19" t="str">
        <f>$A5</f>
        <v>RQF8 Doctorate</v>
      </c>
      <c r="B19" s="17">
        <f t="shared" ref="B19:F21" si="1">B5/B$15*100</f>
        <v>1.3044064385920482</v>
      </c>
      <c r="C19" s="17">
        <f t="shared" si="1"/>
        <v>1.621375452717317</v>
      </c>
      <c r="D19" s="17">
        <f t="shared" si="1"/>
        <v>1.608922643852658</v>
      </c>
      <c r="E19" s="17">
        <f>E5/E$15*100</f>
        <v>2.0288613048476609</v>
      </c>
      <c r="F19" s="17">
        <f t="shared" si="1"/>
        <v>2.8359041494575425</v>
      </c>
      <c r="G19" s="11"/>
    </row>
    <row r="20" spans="1:7" x14ac:dyDescent="0.2">
      <c r="A20" t="str">
        <f>$A6</f>
        <v>RQF7 Other higher degree</v>
      </c>
      <c r="B20" s="17">
        <f t="shared" si="1"/>
        <v>8.6874538192134221</v>
      </c>
      <c r="C20" s="17">
        <f t="shared" si="1"/>
        <v>10.87235747724233</v>
      </c>
      <c r="D20" s="17">
        <f t="shared" si="1"/>
        <v>11.194595876268895</v>
      </c>
      <c r="E20" s="17">
        <f t="shared" si="1"/>
        <v>14.011783948831797</v>
      </c>
      <c r="F20" s="17">
        <f t="shared" si="1"/>
        <v>19.65955011884574</v>
      </c>
      <c r="G20" s="11"/>
    </row>
    <row r="21" spans="1:7" x14ac:dyDescent="0.2">
      <c r="A21" t="str">
        <f>$A7</f>
        <v>RQF6 First degree</v>
      </c>
      <c r="B21" s="17">
        <f t="shared" si="1"/>
        <v>18.526822661991179</v>
      </c>
      <c r="C21" s="17">
        <f t="shared" si="1"/>
        <v>18.30689168985279</v>
      </c>
      <c r="D21" s="17">
        <f t="shared" si="1"/>
        <v>19.445414824760388</v>
      </c>
      <c r="E21" s="17">
        <f t="shared" si="1"/>
        <v>20.928189308955496</v>
      </c>
      <c r="F21" s="17">
        <f t="shared" si="1"/>
        <v>22.476321071698596</v>
      </c>
      <c r="G21" s="11"/>
    </row>
    <row r="22" spans="1:7" x14ac:dyDescent="0.2">
      <c r="A22" t="str">
        <f t="shared" ref="A22:A27" si="2">$A8</f>
        <v>RQF5 Foundation degree;Nursing;Teaching</v>
      </c>
      <c r="B22" s="17">
        <f t="shared" ref="B22:F22" si="3">B8/B$15*100</f>
        <v>5.8947392660091209</v>
      </c>
      <c r="C22" s="17">
        <f t="shared" si="3"/>
        <v>5.1087081593731787</v>
      </c>
      <c r="D22" s="17">
        <f t="shared" si="3"/>
        <v>5.444100543591845</v>
      </c>
      <c r="E22" s="17">
        <f t="shared" si="3"/>
        <v>5.4899796703011354</v>
      </c>
      <c r="F22" s="17">
        <f t="shared" si="3"/>
        <v>5.7519827517396251</v>
      </c>
      <c r="G22" s="11"/>
    </row>
    <row r="23" spans="1:7" x14ac:dyDescent="0.2">
      <c r="A23" t="str">
        <f t="shared" si="2"/>
        <v>RQF4 HE below degree level</v>
      </c>
      <c r="B23" s="17">
        <f t="shared" ref="B23:F23" si="4">B9/B$15*100</f>
        <v>5.3876464409513432</v>
      </c>
      <c r="C23" s="17">
        <f t="shared" si="4"/>
        <v>5.1387101172379648</v>
      </c>
      <c r="D23" s="17">
        <f t="shared" si="4"/>
        <v>5.4568260137878255</v>
      </c>
      <c r="E23" s="17">
        <f t="shared" si="4"/>
        <v>5.7652631356013968</v>
      </c>
      <c r="F23" s="17">
        <f t="shared" si="4"/>
        <v>6.1896065121562618</v>
      </c>
      <c r="G23" s="11"/>
    </row>
    <row r="24" spans="1:7" x14ac:dyDescent="0.2">
      <c r="A24" t="str">
        <f t="shared" si="2"/>
        <v>RQF3 A level &amp; equivalent</v>
      </c>
      <c r="B24" s="17">
        <f t="shared" ref="B24:F24" si="5">B10/B$15*100</f>
        <v>22.543885860122593</v>
      </c>
      <c r="C24" s="17">
        <f t="shared" si="5"/>
        <v>22.695717466800598</v>
      </c>
      <c r="D24" s="17">
        <f t="shared" si="5"/>
        <v>21.889112322171663</v>
      </c>
      <c r="E24" s="17">
        <f t="shared" si="5"/>
        <v>21.717132740966505</v>
      </c>
      <c r="F24" s="17">
        <f t="shared" si="5"/>
        <v>21.414905236829192</v>
      </c>
      <c r="G24" s="11"/>
    </row>
    <row r="25" spans="1:7" x14ac:dyDescent="0.2">
      <c r="A25" t="str">
        <f t="shared" si="2"/>
        <v>RQF2 GCSE(A-C) &amp; equivalent</v>
      </c>
      <c r="B25" s="17">
        <f t="shared" ref="B25:F25" si="6">B11/B$15*100</f>
        <v>21.912196485247168</v>
      </c>
      <c r="C25" s="17">
        <f t="shared" si="6"/>
        <v>19.737823765340252</v>
      </c>
      <c r="D25" s="17">
        <f t="shared" si="6"/>
        <v>18.918196886703338</v>
      </c>
      <c r="E25" s="17">
        <f t="shared" si="6"/>
        <v>16.647879184643504</v>
      </c>
      <c r="F25" s="17">
        <f t="shared" si="6"/>
        <v>12.463055442261204</v>
      </c>
      <c r="G25" s="11"/>
    </row>
    <row r="26" spans="1:7" x14ac:dyDescent="0.2">
      <c r="A26" t="str">
        <f t="shared" si="2"/>
        <v>RQF1 GCSE(below grade C) &amp; equivalent</v>
      </c>
      <c r="B26" s="17">
        <f t="shared" ref="B26:F26" si="7">B12/B$15*100</f>
        <v>12.438806299030645</v>
      </c>
      <c r="C26" s="17">
        <f>C12/C$15*100</f>
        <v>13.64804933413615</v>
      </c>
      <c r="D26" s="17">
        <f t="shared" si="7"/>
        <v>12.526675422112149</v>
      </c>
      <c r="E26" s="17">
        <f t="shared" si="7"/>
        <v>10.895795167652707</v>
      </c>
      <c r="F26" s="17">
        <f t="shared" si="7"/>
        <v>7.4178309485859932</v>
      </c>
      <c r="G26" s="11"/>
    </row>
    <row r="27" spans="1:7" x14ac:dyDescent="0.2">
      <c r="A27" t="str">
        <f t="shared" si="2"/>
        <v>No Qualification</v>
      </c>
      <c r="B27" s="17">
        <f t="shared" ref="B27:F27" si="8">B13/B$15*100</f>
        <v>3.3040427288424823</v>
      </c>
      <c r="C27" s="17">
        <f>C13/C$15*100</f>
        <v>2.8703665372994265</v>
      </c>
      <c r="D27" s="17">
        <f t="shared" si="8"/>
        <v>3.5161554667512447</v>
      </c>
      <c r="E27" s="17">
        <f t="shared" si="8"/>
        <v>2.5151155381997934</v>
      </c>
      <c r="F27" s="17">
        <f t="shared" si="8"/>
        <v>1.7908437684258396</v>
      </c>
      <c r="G27" s="11"/>
    </row>
    <row r="28" spans="1:7" x14ac:dyDescent="0.2">
      <c r="B28" s="17"/>
      <c r="C28" s="17"/>
      <c r="D28" s="17"/>
      <c r="E28" s="17"/>
      <c r="F28" s="17"/>
      <c r="G28" s="11"/>
    </row>
    <row r="29" spans="1:7" x14ac:dyDescent="0.2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2">
      <c r="B30" s="17"/>
      <c r="C30" s="17"/>
      <c r="D30" s="17"/>
      <c r="E30" s="17"/>
      <c r="F30" s="17"/>
      <c r="G30" s="11"/>
    </row>
    <row r="32" spans="1:7" x14ac:dyDescent="0.2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2">
      <c r="A33" t="str">
        <f>$A19</f>
        <v>RQF8 Doctorate</v>
      </c>
      <c r="B33" s="17">
        <f>IF(C$3-B$3 &lt;&gt; 0,(EXP(LN(C5/B5)/(C$3-B$3))-1)*100,0)</f>
        <v>6.9149176423379366</v>
      </c>
      <c r="C33" s="17">
        <f t="shared" ref="B33:E35" si="9">IF(D$3-C$3 &lt;&gt; 0,(EXP(LN(D5/C5)/(D$3-C$3))-1)*100,0)</f>
        <v>-1.8574749083673181</v>
      </c>
      <c r="D33" s="17">
        <f t="shared" si="9"/>
        <v>5.6545629408041753</v>
      </c>
      <c r="E33" s="17">
        <f t="shared" si="9"/>
        <v>4.0031796709415701</v>
      </c>
      <c r="F33" s="17">
        <f>IF(F$3-D$3 &lt;&gt; 0,(EXP(LN(F5/D5)/(F$3-D$3))-1)*100,0)</f>
        <v>4.5507527483827692</v>
      </c>
    </row>
    <row r="34" spans="1:6" x14ac:dyDescent="0.2">
      <c r="A34" t="str">
        <f>$A20</f>
        <v>RQF7 Other higher degree</v>
      </c>
      <c r="B34" s="17">
        <f t="shared" si="9"/>
        <v>7.0972808388458875</v>
      </c>
      <c r="C34" s="17">
        <f t="shared" si="9"/>
        <v>1.8334258011693194</v>
      </c>
      <c r="D34" s="17">
        <f t="shared" si="9"/>
        <v>5.4974157067957385</v>
      </c>
      <c r="E34" s="17">
        <f t="shared" si="9"/>
        <v>4.0424840418846086</v>
      </c>
      <c r="F34" s="17">
        <f t="shared" ref="F34:F43" si="10">IF(F$3-D$3 &lt;&gt; 0,(EXP(LN(F6/D6)/(F$3-D$3))-1)*100,0)</f>
        <v>4.5252180212283166</v>
      </c>
    </row>
    <row r="35" spans="1:6" x14ac:dyDescent="0.2">
      <c r="A35" t="str">
        <f>$A21</f>
        <v>RQF6 First degree</v>
      </c>
      <c r="B35" s="17">
        <f t="shared" si="9"/>
        <v>0.95412238108198988</v>
      </c>
      <c r="C35" s="17">
        <f t="shared" si="9"/>
        <v>5.0529512440021129</v>
      </c>
      <c r="D35" s="17">
        <f t="shared" si="9"/>
        <v>2.3593943011805063</v>
      </c>
      <c r="E35" s="17">
        <f t="shared" si="9"/>
        <v>1.2982763025435551</v>
      </c>
      <c r="F35" s="17">
        <f t="shared" si="10"/>
        <v>1.6507543946364445</v>
      </c>
    </row>
    <row r="36" spans="1:6" x14ac:dyDescent="0.2">
      <c r="A36" t="str">
        <f t="shared" ref="A36:A41" si="11">$A22</f>
        <v>RQF5 Foundation degree;Nursing;Teaching</v>
      </c>
      <c r="B36" s="17">
        <f>IF(C$3-B$3 &lt;&gt; 0,(EXP(LN(C8/B8)/(C$3-B$3))-1)*100,0)</f>
        <v>-2.3027668943040203</v>
      </c>
      <c r="C36" s="17">
        <f t="shared" ref="C36:E36" si="12">IF(D$3-C$3 &lt;&gt; 0,(EXP(LN(D8/C8)/(D$3-C$3))-1)*100,0)</f>
        <v>5.3951680852276418</v>
      </c>
      <c r="D36" s="17">
        <f t="shared" si="12"/>
        <v>1.0354403349268848</v>
      </c>
      <c r="E36" s="17">
        <f t="shared" si="12"/>
        <v>1.0479208864655698</v>
      </c>
      <c r="F36" s="17">
        <f t="shared" si="10"/>
        <v>1.0437605313311504</v>
      </c>
    </row>
    <row r="37" spans="1:6" x14ac:dyDescent="0.2">
      <c r="A37" t="str">
        <f t="shared" si="11"/>
        <v>RQF4 HE below degree level</v>
      </c>
      <c r="B37" s="17">
        <f t="shared" ref="B37:E37" si="13">IF(C$3-B$3 &lt;&gt; 0,(EXP(LN(C9/B9)/(C$3-B$3))-1)*100,0)</f>
        <v>6.5506651219870982E-2</v>
      </c>
      <c r="C37" s="17">
        <f t="shared" si="13"/>
        <v>5.0247472588244912</v>
      </c>
      <c r="D37" s="17">
        <f t="shared" si="13"/>
        <v>1.981318873998994</v>
      </c>
      <c r="E37" s="17">
        <f t="shared" si="13"/>
        <v>1.294785449497371</v>
      </c>
      <c r="F37" s="17">
        <f t="shared" si="10"/>
        <v>1.5231148584186283</v>
      </c>
    </row>
    <row r="38" spans="1:6" x14ac:dyDescent="0.2">
      <c r="A38" t="str">
        <f t="shared" si="11"/>
        <v>RQF3 A level &amp; equivalent</v>
      </c>
      <c r="B38" s="17">
        <f t="shared" ref="B38:E38" si="14">IF(C$3-B$3 &lt;&gt; 0,(EXP(LN(C10/B10)/(C$3-B$3))-1)*100,0)</f>
        <v>1.4260297508087882</v>
      </c>
      <c r="C38" s="17">
        <f t="shared" si="14"/>
        <v>-4.6128461107533436</v>
      </c>
      <c r="D38" s="17">
        <f t="shared" si="14"/>
        <v>0.70700630552591459</v>
      </c>
      <c r="E38" s="17">
        <f t="shared" si="14"/>
        <v>0.4370770671509705</v>
      </c>
      <c r="F38" s="17">
        <f t="shared" si="10"/>
        <v>0.52697299483599469</v>
      </c>
    </row>
    <row r="39" spans="1:6" x14ac:dyDescent="0.2">
      <c r="A39" t="str">
        <f t="shared" si="11"/>
        <v>RQF2 GCSE(A-C) &amp; equivalent</v>
      </c>
      <c r="B39" s="17">
        <f t="shared" ref="B39:E39" si="15">IF(C$3-B$3 &lt;&gt; 0,(EXP(LN(C11/B11)/(C$3-B$3))-1)*100,0)</f>
        <v>-1.3552493965894197</v>
      </c>
      <c r="C39" s="17">
        <f t="shared" si="15"/>
        <v>-5.204847108642829</v>
      </c>
      <c r="D39" s="17">
        <f t="shared" si="15"/>
        <v>-1.680275335988235</v>
      </c>
      <c r="E39" s="17">
        <f t="shared" si="15"/>
        <v>-2.2921944644814451</v>
      </c>
      <c r="F39" s="17">
        <f t="shared" si="10"/>
        <v>-2.0886457567091843</v>
      </c>
    </row>
    <row r="40" spans="1:6" x14ac:dyDescent="0.2">
      <c r="A40" t="str">
        <f t="shared" si="11"/>
        <v>RQF1 GCSE(below grade C) &amp; equivalent</v>
      </c>
      <c r="B40" s="17">
        <f t="shared" ref="B40:E40" si="16">IF(C$3-B$3 &lt;&gt; 0,(EXP(LN(C12/B12)/(C$3-B$3))-1)*100,0)</f>
        <v>3.6319357611899417</v>
      </c>
      <c r="C40" s="17">
        <f t="shared" si="16"/>
        <v>-9.2240300201755545</v>
      </c>
      <c r="D40" s="17">
        <f t="shared" si="16"/>
        <v>-1.9089372369290869</v>
      </c>
      <c r="E40" s="17">
        <f t="shared" si="16"/>
        <v>-3.2157924797725168</v>
      </c>
      <c r="F40" s="17">
        <f t="shared" si="10"/>
        <v>-2.7821201740403256</v>
      </c>
    </row>
    <row r="41" spans="1:6" x14ac:dyDescent="0.2">
      <c r="A41" t="str">
        <f t="shared" si="11"/>
        <v>No Qualification</v>
      </c>
      <c r="B41" s="17">
        <f t="shared" ref="B41:E41" si="17">IF(C$3-B$3 &lt;&gt; 0,(EXP(LN(C13/B13)/(C$3-B$3))-1)*100,0)</f>
        <v>-2.2439676058211622</v>
      </c>
      <c r="C41" s="17">
        <f t="shared" si="17"/>
        <v>21.153612452986682</v>
      </c>
      <c r="D41" s="17">
        <f t="shared" si="17"/>
        <v>-5.6715294093563795</v>
      </c>
      <c r="E41" s="17">
        <f t="shared" si="17"/>
        <v>-2.7806587059473475</v>
      </c>
      <c r="F41" s="17">
        <f t="shared" si="10"/>
        <v>-3.7539945490840276</v>
      </c>
    </row>
    <row r="42" spans="1:6" x14ac:dyDescent="0.2">
      <c r="B42" s="17"/>
      <c r="C42" s="17"/>
      <c r="D42" s="17"/>
      <c r="E42" s="17"/>
      <c r="F42" s="17"/>
    </row>
    <row r="43" spans="1:6" x14ac:dyDescent="0.2">
      <c r="A43" t="str">
        <f>$A29</f>
        <v>All qualifications</v>
      </c>
      <c r="B43" s="17">
        <f>IF(C$3-B$3 &lt;&gt; 0,(EXP(LN(C15/B15)/(C$3-B$3))-1)*100,0)</f>
        <v>1.2559705559315626</v>
      </c>
      <c r="C43" s="17">
        <f t="shared" ref="C43" si="18">IF(D$3-C$3 &lt;&gt; 0,(EXP(LN(D15/C15)/(D$3-C$3))-1)*100,0)</f>
        <v>-1.0978671602069778</v>
      </c>
      <c r="D43" s="17">
        <f>IF(E$3-D$3 &lt;&gt; 0,(EXP(LN(E15/D15)/(E$3-D$3))-1)*100,0)</f>
        <v>0.86600469906552568</v>
      </c>
      <c r="E43" s="17">
        <f>IF(F$3-E$3 &lt;&gt; 0,(EXP(LN(F15/E15)/(F$3-E$3))-1)*100,0)</f>
        <v>0.57793117804307848</v>
      </c>
      <c r="F43" s="17">
        <f t="shared" si="10"/>
        <v>0.6738641534223655</v>
      </c>
    </row>
    <row r="44" spans="1:6" x14ac:dyDescent="0.2">
      <c r="B44" s="17"/>
      <c r="C44" s="17"/>
      <c r="D44" s="17"/>
      <c r="E44" s="17"/>
      <c r="F44" s="17"/>
    </row>
    <row r="46" spans="1:6" x14ac:dyDescent="0.2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2">
      <c r="A47" t="str">
        <f>$A33</f>
        <v>RQF8 Doctorate</v>
      </c>
      <c r="B47" s="26">
        <f>C5-B5</f>
        <v>11.270632863258541</v>
      </c>
      <c r="C47" s="26">
        <f>D5-C5</f>
        <v>-0.89208716690882284</v>
      </c>
      <c r="D47" s="26">
        <f>E5-D5</f>
        <v>14.921079129366291</v>
      </c>
      <c r="E47" s="26">
        <f>F5-E5</f>
        <v>29.830064089533465</v>
      </c>
      <c r="F47" s="26">
        <f>F5-D5</f>
        <v>44.751143218899756</v>
      </c>
    </row>
    <row r="48" spans="1:6" x14ac:dyDescent="0.2">
      <c r="A48" t="str">
        <f t="shared" ref="A48:A55" si="19">$A34</f>
        <v>RQF7 Other higher degree</v>
      </c>
      <c r="B48" s="26">
        <f t="shared" ref="B48:E48" si="20">C6-B6</f>
        <v>77.251270704849588</v>
      </c>
      <c r="C48" s="26">
        <f t="shared" si="20"/>
        <v>5.9045635949331086</v>
      </c>
      <c r="D48" s="26">
        <f t="shared" si="20"/>
        <v>100.6167048460328</v>
      </c>
      <c r="E48" s="26">
        <f t="shared" si="20"/>
        <v>208.41557689233395</v>
      </c>
      <c r="F48" s="26">
        <f t="shared" ref="F48:F57" si="21">F6-D6</f>
        <v>309.03228173836675</v>
      </c>
    </row>
    <row r="49" spans="1:6" x14ac:dyDescent="0.2">
      <c r="A49" t="str">
        <f t="shared" si="19"/>
        <v>RQF6 First degree</v>
      </c>
      <c r="B49" s="26">
        <f t="shared" ref="B49:E49" si="22">C7-B7</f>
        <v>20.211277310647006</v>
      </c>
      <c r="C49" s="26">
        <f t="shared" si="22"/>
        <v>27.400624574081462</v>
      </c>
      <c r="D49" s="26">
        <f t="shared" si="22"/>
        <v>70.450763905080294</v>
      </c>
      <c r="E49" s="26">
        <f t="shared" si="22"/>
        <v>88.132596994377309</v>
      </c>
      <c r="F49" s="26">
        <f t="shared" si="21"/>
        <v>158.5833608994576</v>
      </c>
    </row>
    <row r="50" spans="1:6" x14ac:dyDescent="0.2">
      <c r="A50" t="str">
        <f t="shared" si="19"/>
        <v>RQF5 Foundation degree;Nursing;Teaching</v>
      </c>
      <c r="B50" s="26">
        <f t="shared" ref="B50:E50" si="23">C8-B8</f>
        <v>-14.779626303506888</v>
      </c>
      <c r="C50" s="26">
        <f t="shared" si="23"/>
        <v>8.1642597934572052</v>
      </c>
      <c r="D50" s="26">
        <f t="shared" si="23"/>
        <v>8.4298758925343407</v>
      </c>
      <c r="E50" s="26">
        <f t="shared" si="23"/>
        <v>18.450052815829508</v>
      </c>
      <c r="F50" s="26">
        <f t="shared" si="21"/>
        <v>26.879928708363849</v>
      </c>
    </row>
    <row r="51" spans="1:6" x14ac:dyDescent="0.2">
      <c r="A51" t="str">
        <f t="shared" si="19"/>
        <v>RQF4 HE below degree level</v>
      </c>
      <c r="B51" s="26">
        <f t="shared" ref="B51:E51" si="24">C9-B9</f>
        <v>0.3981891032753424</v>
      </c>
      <c r="C51" s="26">
        <f t="shared" si="24"/>
        <v>7.6483734199572666</v>
      </c>
      <c r="D51" s="26">
        <f t="shared" si="24"/>
        <v>16.477043647548584</v>
      </c>
      <c r="E51" s="26">
        <f t="shared" si="24"/>
        <v>24.209498167849802</v>
      </c>
      <c r="F51" s="26">
        <f t="shared" si="21"/>
        <v>40.686541815398385</v>
      </c>
    </row>
    <row r="52" spans="1:6" x14ac:dyDescent="0.2">
      <c r="A52" t="str">
        <f t="shared" si="19"/>
        <v>RQF3 A level &amp; equivalent</v>
      </c>
      <c r="B52" s="26">
        <f t="shared" ref="B52:E52" si="25">C10-B10</f>
        <v>37.018097197713246</v>
      </c>
      <c r="C52" s="26">
        <f t="shared" si="25"/>
        <v>-31.010846779279177</v>
      </c>
      <c r="D52" s="26">
        <f t="shared" si="25"/>
        <v>22.991577432012377</v>
      </c>
      <c r="E52" s="26">
        <f t="shared" si="25"/>
        <v>29.610679097579236</v>
      </c>
      <c r="F52" s="26">
        <f t="shared" si="21"/>
        <v>52.602256529591614</v>
      </c>
    </row>
    <row r="53" spans="1:6" x14ac:dyDescent="0.2">
      <c r="A53" t="str">
        <f t="shared" si="19"/>
        <v>RQF2 GCSE(A-C) &amp; equivalent</v>
      </c>
      <c r="B53" s="26">
        <f t="shared" ref="B53:E53" si="26">C11-B11</f>
        <v>-32.797807502096134</v>
      </c>
      <c r="C53" s="26">
        <f>D11-C11</f>
        <v>-30.430422774141789</v>
      </c>
      <c r="D53" s="26">
        <f t="shared" si="26"/>
        <v>-45.023847552483062</v>
      </c>
      <c r="E53" s="26">
        <f t="shared" si="26"/>
        <v>-105.3866021036265</v>
      </c>
      <c r="F53" s="26">
        <f t="shared" si="21"/>
        <v>-150.41044965610956</v>
      </c>
    </row>
    <row r="54" spans="1:6" x14ac:dyDescent="0.2">
      <c r="A54" t="str">
        <f t="shared" si="19"/>
        <v>RQF1 GCSE(below grade C) &amp; equivalent</v>
      </c>
      <c r="B54" s="26">
        <f t="shared" ref="B54:E54" si="27">C12-B12</f>
        <v>53.76267261685075</v>
      </c>
      <c r="C54" s="26">
        <f t="shared" si="27"/>
        <v>-37.289969991903092</v>
      </c>
      <c r="D54" s="26">
        <f t="shared" si="27"/>
        <v>-33.715071013399665</v>
      </c>
      <c r="E54" s="26">
        <f t="shared" si="27"/>
        <v>-92.920162367782297</v>
      </c>
      <c r="F54" s="26">
        <f t="shared" si="21"/>
        <v>-126.63523338118196</v>
      </c>
    </row>
    <row r="55" spans="1:6" x14ac:dyDescent="0.2">
      <c r="A55" t="str">
        <f t="shared" si="19"/>
        <v>No Qualification</v>
      </c>
      <c r="B55" s="26">
        <f t="shared" ref="B55:E55" si="28">C13-B13</f>
        <v>-8.0797059884531706</v>
      </c>
      <c r="C55" s="26">
        <f t="shared" si="28"/>
        <v>17.98550532661551</v>
      </c>
      <c r="D55" s="26">
        <f t="shared" si="28"/>
        <v>-26.080126288827174</v>
      </c>
      <c r="E55" s="26">
        <f t="shared" si="28"/>
        <v>-18.903703583128873</v>
      </c>
      <c r="F55" s="26">
        <f t="shared" si="21"/>
        <v>-44.983829871956047</v>
      </c>
    </row>
    <row r="56" spans="1:6" x14ac:dyDescent="0.2">
      <c r="B56" s="20"/>
      <c r="C56" s="26"/>
      <c r="D56" s="20"/>
      <c r="E56" s="20"/>
      <c r="F56" s="26"/>
    </row>
    <row r="57" spans="1:6" x14ac:dyDescent="0.2">
      <c r="A57" s="23" t="str">
        <f>$A43</f>
        <v>All qualifications</v>
      </c>
      <c r="B57" s="28">
        <f>C15-B15</f>
        <v>144.25500000253805</v>
      </c>
      <c r="C57" s="28">
        <f t="shared" ref="C57" si="29">D15-C15</f>
        <v>-32.520000003188215</v>
      </c>
      <c r="D57" s="28">
        <f>E15-D15</f>
        <v>129.06799999786517</v>
      </c>
      <c r="E57" s="28">
        <f>F15-E15</f>
        <v>181.43800000296551</v>
      </c>
      <c r="F57" s="28">
        <f t="shared" si="21"/>
        <v>310.50600000083068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27.140625" customWidth="1"/>
    <col min="13" max="33" width="4.7109375" bestFit="1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79" t="str">
        <f>CONCATENATE("Qualification Figure 1  Employment by Qualification, ",$M$2,"-",$O$2,", ",Info!B5)</f>
        <v>Qualification Figure 1  Employment by Qualification, 2010-2035, South West</v>
      </c>
      <c r="H1"/>
      <c r="L1" s="45"/>
    </row>
    <row r="2" spans="1:68" x14ac:dyDescent="0.2">
      <c r="A2" s="1" t="s">
        <v>539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2">
      <c r="L3" s="15"/>
      <c r="M3" s="15"/>
      <c r="N3" s="46"/>
      <c r="O3" s="15"/>
    </row>
    <row r="4" spans="1:68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2">
      <c r="L6" s="232" t="str">
        <f>name!F12</f>
        <v>No Qualification</v>
      </c>
      <c r="M6" s="11">
        <v>124.50535454576475</v>
      </c>
      <c r="N6" s="11">
        <v>153.27558398731006</v>
      </c>
      <c r="O6" s="11">
        <v>115.79615755867668</v>
      </c>
      <c r="P6" s="11">
        <v>119.1548532521779</v>
      </c>
      <c r="Q6" s="11">
        <v>115.32165922829526</v>
      </c>
      <c r="R6" s="11">
        <v>93.103034115447088</v>
      </c>
      <c r="S6" s="11">
        <v>93.030449010399593</v>
      </c>
      <c r="T6" s="11">
        <v>87.589366445318888</v>
      </c>
      <c r="U6" s="11">
        <v>95.734648745967618</v>
      </c>
      <c r="V6" s="11">
        <v>85.023328126993917</v>
      </c>
      <c r="W6" s="11">
        <v>103.00883345360943</v>
      </c>
      <c r="X6" s="11">
        <v>96.35671476321717</v>
      </c>
      <c r="Y6" s="11">
        <v>84.322540016572475</v>
      </c>
      <c r="Z6" s="11">
        <v>81.558339622081405</v>
      </c>
      <c r="AA6" s="11">
        <v>78.58944361645807</v>
      </c>
      <c r="AB6" s="11">
        <v>76.928707164782253</v>
      </c>
      <c r="AC6" s="11">
        <v>75.317860913949048</v>
      </c>
      <c r="AD6" s="11">
        <v>73.541235144400943</v>
      </c>
      <c r="AE6" s="11">
        <v>71.633736106328868</v>
      </c>
      <c r="AF6" s="11">
        <v>69.590371435782245</v>
      </c>
      <c r="AG6" s="11">
        <v>67.444176603343934</v>
      </c>
      <c r="AH6" s="11">
        <v>65.15370322109284</v>
      </c>
      <c r="AI6" s="11">
        <v>62.726874934539829</v>
      </c>
      <c r="AJ6" s="11">
        <v>60.163674768082494</v>
      </c>
      <c r="AK6" s="11">
        <v>57.658701053119515</v>
      </c>
      <c r="AL6" s="11">
        <v>58.02500358165338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2">
      <c r="L7" s="232" t="str">
        <f>name!F11</f>
        <v>RQF1 GCSE(below grade C) &amp; equivalent</v>
      </c>
      <c r="M7" s="11">
        <v>418.99464645491975</v>
      </c>
      <c r="N7" s="11">
        <v>393.38186628434511</v>
      </c>
      <c r="O7" s="11">
        <v>383.69224353502261</v>
      </c>
      <c r="P7" s="11">
        <v>367.1045041807439</v>
      </c>
      <c r="Q7" s="11">
        <v>399.65311538756185</v>
      </c>
      <c r="R7" s="11">
        <v>350.50715207300198</v>
      </c>
      <c r="S7" s="11">
        <v>394.95577816875124</v>
      </c>
      <c r="T7" s="11">
        <v>354.62188144654402</v>
      </c>
      <c r="U7" s="11">
        <v>377.22044106664777</v>
      </c>
      <c r="V7" s="11">
        <v>404.26982468985273</v>
      </c>
      <c r="W7" s="11">
        <v>366.97985469794963</v>
      </c>
      <c r="X7" s="11">
        <v>332.78423787743321</v>
      </c>
      <c r="Y7" s="11">
        <v>349.34845348343913</v>
      </c>
      <c r="Z7" s="11">
        <v>345.17595859253674</v>
      </c>
      <c r="AA7" s="11">
        <v>340.0670778274856</v>
      </c>
      <c r="AB7" s="11">
        <v>333.26478368454997</v>
      </c>
      <c r="AC7" s="11">
        <v>325.90855704877367</v>
      </c>
      <c r="AD7" s="11">
        <v>318.03532783441665</v>
      </c>
      <c r="AE7" s="11">
        <v>309.77257478520181</v>
      </c>
      <c r="AF7" s="11">
        <v>301.10195549100519</v>
      </c>
      <c r="AG7" s="11">
        <v>292.14921259000545</v>
      </c>
      <c r="AH7" s="11">
        <v>282.74131708274882</v>
      </c>
      <c r="AI7" s="11">
        <v>272.9036326287183</v>
      </c>
      <c r="AJ7" s="11">
        <v>262.6318352075312</v>
      </c>
      <c r="AK7" s="11">
        <v>251.87207252376129</v>
      </c>
      <c r="AL7" s="11">
        <v>240.34462131676767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2">
      <c r="L8" s="232" t="str">
        <f>name!F10</f>
        <v>RQF2 GCSE(A-C) &amp; equivalent</v>
      </c>
      <c r="M8" s="11">
        <v>580.12620452551687</v>
      </c>
      <c r="N8" s="11">
        <v>603.50985597383715</v>
      </c>
      <c r="O8" s="11">
        <v>611.43250822675066</v>
      </c>
      <c r="P8" s="11">
        <v>599.79051804885705</v>
      </c>
      <c r="Q8" s="11">
        <v>593.72310803007861</v>
      </c>
      <c r="R8" s="11">
        <v>617.45326690283457</v>
      </c>
      <c r="S8" s="11">
        <v>571.99965539276297</v>
      </c>
      <c r="T8" s="11">
        <v>589.09544579004421</v>
      </c>
      <c r="U8" s="11">
        <v>594.06159437282031</v>
      </c>
      <c r="V8" s="11">
        <v>584.65545940073844</v>
      </c>
      <c r="W8" s="11">
        <v>554.22503662659665</v>
      </c>
      <c r="X8" s="11">
        <v>530.46564549654829</v>
      </c>
      <c r="Y8" s="11">
        <v>534.48631096405427</v>
      </c>
      <c r="Z8" s="11">
        <v>527.31929857127386</v>
      </c>
      <c r="AA8" s="11">
        <v>519.27713472616858</v>
      </c>
      <c r="AB8" s="11">
        <v>509.20118907411359</v>
      </c>
      <c r="AC8" s="11">
        <v>498.8339395073354</v>
      </c>
      <c r="AD8" s="11">
        <v>488.26232493881196</v>
      </c>
      <c r="AE8" s="11">
        <v>477.68546916219225</v>
      </c>
      <c r="AF8" s="11">
        <v>467.09318502576826</v>
      </c>
      <c r="AG8" s="11">
        <v>456.68833447602395</v>
      </c>
      <c r="AH8" s="11">
        <v>446.22539524240517</v>
      </c>
      <c r="AI8" s="11">
        <v>435.7572086445515</v>
      </c>
      <c r="AJ8" s="11">
        <v>425.29536968517408</v>
      </c>
      <c r="AK8" s="11">
        <v>414.77484448299077</v>
      </c>
      <c r="AL8" s="11">
        <v>403.81458697048708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2">
      <c r="L9" s="232" t="str">
        <f>name!F9</f>
        <v>RQF3 A level &amp; equivalent</v>
      </c>
      <c r="M9" s="11">
        <v>593.56557741741813</v>
      </c>
      <c r="N9" s="11">
        <v>559.82361113099614</v>
      </c>
      <c r="O9" s="11">
        <v>569.06277141249689</v>
      </c>
      <c r="P9" s="11">
        <v>619.06306901000403</v>
      </c>
      <c r="Q9" s="11">
        <v>604.09581952965937</v>
      </c>
      <c r="R9" s="11">
        <v>635.25333858653096</v>
      </c>
      <c r="S9" s="11">
        <v>627.19728726424876</v>
      </c>
      <c r="T9" s="11">
        <v>647.6354639658764</v>
      </c>
      <c r="U9" s="11">
        <v>658.90505651067485</v>
      </c>
      <c r="V9" s="11">
        <v>672.2714357842442</v>
      </c>
      <c r="W9" s="11">
        <v>641.26058900496503</v>
      </c>
      <c r="X9" s="11">
        <v>608.87480395775731</v>
      </c>
      <c r="Y9" s="11">
        <v>648.53940829497128</v>
      </c>
      <c r="Z9" s="11">
        <v>655.19029629534634</v>
      </c>
      <c r="AA9" s="11">
        <v>660.9527051217558</v>
      </c>
      <c r="AB9" s="11">
        <v>664.2521664369774</v>
      </c>
      <c r="AC9" s="11">
        <v>667.2276528268028</v>
      </c>
      <c r="AD9" s="11">
        <v>669.97369459208915</v>
      </c>
      <c r="AE9" s="11">
        <v>672.75037915264795</v>
      </c>
      <c r="AF9" s="11">
        <v>675.54644900193466</v>
      </c>
      <c r="AG9" s="11">
        <v>678.66041883834669</v>
      </c>
      <c r="AH9" s="11">
        <v>681.74709386871837</v>
      </c>
      <c r="AI9" s="11">
        <v>684.88510644389112</v>
      </c>
      <c r="AJ9" s="11">
        <v>688.0981206120797</v>
      </c>
      <c r="AK9" s="11">
        <v>691.28804201646358</v>
      </c>
      <c r="AL9" s="11">
        <v>693.86284553455664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2">
      <c r="L10" s="232" t="str">
        <f>name!F8</f>
        <v>RQF4 HE below degree level</v>
      </c>
      <c r="M10" s="11">
        <v>140.50730034367251</v>
      </c>
      <c r="N10" s="11">
        <v>139.34296602562299</v>
      </c>
      <c r="O10" s="11">
        <v>146.17676887294849</v>
      </c>
      <c r="P10" s="11">
        <v>144.53357406609857</v>
      </c>
      <c r="Q10" s="11">
        <v>154.44171313755561</v>
      </c>
      <c r="R10" s="11">
        <v>151.81590298912073</v>
      </c>
      <c r="S10" s="11">
        <v>160.78214285584394</v>
      </c>
      <c r="T10" s="11">
        <v>158.65302516791979</v>
      </c>
      <c r="U10" s="11">
        <v>155.43269335482111</v>
      </c>
      <c r="V10" s="11">
        <v>152.21409209239607</v>
      </c>
      <c r="W10" s="11">
        <v>159.86246551235334</v>
      </c>
      <c r="X10" s="11">
        <v>181.33990602980714</v>
      </c>
      <c r="Y10" s="11">
        <v>168.0488130374751</v>
      </c>
      <c r="Z10" s="11">
        <v>171.18936847150857</v>
      </c>
      <c r="AA10" s="11">
        <v>174.08590353001509</v>
      </c>
      <c r="AB10" s="11">
        <v>176.33950915990192</v>
      </c>
      <c r="AC10" s="11">
        <v>178.6101397632481</v>
      </c>
      <c r="AD10" s="11">
        <v>180.87306926485721</v>
      </c>
      <c r="AE10" s="11">
        <v>183.12088254581397</v>
      </c>
      <c r="AF10" s="11">
        <v>185.37867785967524</v>
      </c>
      <c r="AG10" s="11">
        <v>187.78526964273755</v>
      </c>
      <c r="AH10">
        <v>190.20812676977783</v>
      </c>
      <c r="AI10">
        <v>192.66477350543173</v>
      </c>
      <c r="AJ10">
        <v>195.36237951456789</v>
      </c>
      <c r="AK10">
        <v>198.13295625500243</v>
      </c>
      <c r="AL10" s="11">
        <v>200.54900732775172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2">
      <c r="L11" s="232" t="str">
        <f>name!F7</f>
        <v>RQF5 Foundation degree;Nursing;Teaching</v>
      </c>
      <c r="M11" s="11">
        <v>165.74641915512726</v>
      </c>
      <c r="N11" s="11">
        <v>164.05264579877155</v>
      </c>
      <c r="O11" s="11">
        <v>165.09660529187477</v>
      </c>
      <c r="P11" s="11">
        <v>173.26759633822189</v>
      </c>
      <c r="Q11" s="11">
        <v>174.3577996667716</v>
      </c>
      <c r="R11" s="11">
        <v>166.10502830185317</v>
      </c>
      <c r="S11" s="11">
        <v>170.01594680337209</v>
      </c>
      <c r="T11" s="11">
        <v>166.97310345977763</v>
      </c>
      <c r="U11" s="11">
        <v>163.40291548947474</v>
      </c>
      <c r="V11" s="11">
        <v>151.32540199834628</v>
      </c>
      <c r="W11" s="11">
        <v>159.48966179180348</v>
      </c>
      <c r="X11" s="11">
        <v>175.37707272846561</v>
      </c>
      <c r="Y11" s="11">
        <v>162.96301489806922</v>
      </c>
      <c r="Z11" s="11">
        <v>164.82100791255729</v>
      </c>
      <c r="AA11" s="11">
        <v>166.66149168982923</v>
      </c>
      <c r="AB11" s="11">
        <v>167.91953768433783</v>
      </c>
      <c r="AC11" s="11">
        <v>169.18807386373126</v>
      </c>
      <c r="AD11" s="11">
        <v>170.57799468391283</v>
      </c>
      <c r="AE11" s="11">
        <v>172.16797124937628</v>
      </c>
      <c r="AF11" s="11">
        <v>173.95098585028146</v>
      </c>
      <c r="AG11" s="11">
        <v>175.88874632734857</v>
      </c>
      <c r="AH11">
        <v>177.92588352654721</v>
      </c>
      <c r="AI11">
        <v>180.17717080243881</v>
      </c>
      <c r="AJ11">
        <v>182.40332746252582</v>
      </c>
      <c r="AK11">
        <v>184.4089724738547</v>
      </c>
      <c r="AL11" s="11">
        <v>186.36959050016733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2">
      <c r="L12" s="232" t="str">
        <f>name!F6</f>
        <v>RQF6 First degree</v>
      </c>
      <c r="M12" s="11">
        <v>423.39937869774974</v>
      </c>
      <c r="N12" s="11">
        <v>444.56738434470651</v>
      </c>
      <c r="O12" s="11">
        <v>465.26209738144274</v>
      </c>
      <c r="P12" s="11">
        <v>490.10313215921445</v>
      </c>
      <c r="Q12" s="11">
        <v>517.68238984995742</v>
      </c>
      <c r="R12" s="11">
        <v>522.05844291683695</v>
      </c>
      <c r="S12" s="11">
        <v>548.91921226570128</v>
      </c>
      <c r="T12" s="11">
        <v>551.20784962427217</v>
      </c>
      <c r="U12" s="11">
        <v>554.41485019973197</v>
      </c>
      <c r="V12" s="11">
        <v>542.26972022748396</v>
      </c>
      <c r="W12" s="11">
        <v>569.67034480156542</v>
      </c>
      <c r="X12" s="11">
        <v>639.85502106918591</v>
      </c>
      <c r="Y12" s="11">
        <v>605.75158628187046</v>
      </c>
      <c r="Z12" s="11">
        <v>618.5222830054845</v>
      </c>
      <c r="AA12" s="11">
        <v>630.46478624106919</v>
      </c>
      <c r="AB12" s="11">
        <v>640.12110870664571</v>
      </c>
      <c r="AC12" s="11">
        <v>649.31505831789173</v>
      </c>
      <c r="AD12" s="11">
        <v>658.13807726728805</v>
      </c>
      <c r="AE12" s="11">
        <v>666.88584086563412</v>
      </c>
      <c r="AF12" s="11">
        <v>675.53668116385677</v>
      </c>
      <c r="AG12" s="11">
        <v>684.43690388180175</v>
      </c>
      <c r="AH12">
        <v>693.26651901552214</v>
      </c>
      <c r="AI12">
        <v>702.01230521331161</v>
      </c>
      <c r="AJ12">
        <v>710.74986782259066</v>
      </c>
      <c r="AK12">
        <v>719.6975483642467</v>
      </c>
      <c r="AL12">
        <v>728.25370570102302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2">
      <c r="L13" s="232" t="str">
        <f>name!F5</f>
        <v>RQF7 Other higher degree</v>
      </c>
      <c r="M13" s="11">
        <v>199.52780202907076</v>
      </c>
      <c r="N13" s="11">
        <v>175.82825436301678</v>
      </c>
      <c r="O13" s="11">
        <v>188.01585498407269</v>
      </c>
      <c r="P13" s="11">
        <v>177.52750999607736</v>
      </c>
      <c r="Q13" s="11">
        <v>230.05758376639434</v>
      </c>
      <c r="R13" s="11">
        <v>244.79959119353103</v>
      </c>
      <c r="S13" s="11">
        <v>256.90036590425342</v>
      </c>
      <c r="T13" s="11">
        <v>299.77468004919103</v>
      </c>
      <c r="U13" s="11">
        <v>292.48003309786344</v>
      </c>
      <c r="V13" s="11">
        <v>322.05086189838062</v>
      </c>
      <c r="W13" s="11">
        <v>327.95542549331373</v>
      </c>
      <c r="X13" s="11">
        <v>333.24161875821062</v>
      </c>
      <c r="Y13" s="11">
        <v>367.12152202930451</v>
      </c>
      <c r="Z13" s="11">
        <v>388.09247802303304</v>
      </c>
      <c r="AA13" s="11">
        <v>408.93367749897402</v>
      </c>
      <c r="AB13" s="11">
        <v>428.57213033934653</v>
      </c>
      <c r="AC13" s="11">
        <v>448.26063142209807</v>
      </c>
      <c r="AD13" s="11">
        <v>468.05006548104382</v>
      </c>
      <c r="AE13" s="11">
        <v>488.059129572112</v>
      </c>
      <c r="AF13" s="11">
        <v>508.33354086192122</v>
      </c>
      <c r="AG13" s="11">
        <v>529.10388500113879</v>
      </c>
      <c r="AH13">
        <v>550.12787299396211</v>
      </c>
      <c r="AI13">
        <v>571.48707330368381</v>
      </c>
      <c r="AJ13">
        <v>593.21190658336604</v>
      </c>
      <c r="AK13">
        <v>615.21330699316798</v>
      </c>
      <c r="AL13">
        <v>636.98770723168047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2">
      <c r="L14" s="232" t="str">
        <f>name!F4</f>
        <v>RQF8 Doctorate</v>
      </c>
      <c r="M14" s="11">
        <v>28.346316832177028</v>
      </c>
      <c r="N14" s="11">
        <v>26.069832091920681</v>
      </c>
      <c r="O14" s="11">
        <v>27.280992738552829</v>
      </c>
      <c r="P14" s="11">
        <v>27.067242948906532</v>
      </c>
      <c r="Q14" s="11">
        <v>34.048811401632115</v>
      </c>
      <c r="R14" s="11">
        <v>36.756242917957152</v>
      </c>
      <c r="S14" s="11">
        <v>37.689162333494998</v>
      </c>
      <c r="T14" s="11">
        <v>44.595184050031769</v>
      </c>
      <c r="U14" s="11">
        <v>43.55976716185841</v>
      </c>
      <c r="V14" s="11">
        <v>48.026875781215693</v>
      </c>
      <c r="W14" s="11">
        <v>47.134788614306871</v>
      </c>
      <c r="X14" s="11">
        <v>48.136979317601281</v>
      </c>
      <c r="Y14" s="11">
        <v>53.343350988989542</v>
      </c>
      <c r="Z14" s="11">
        <v>56.292969500085391</v>
      </c>
      <c r="AA14" s="11">
        <v>59.25877974192813</v>
      </c>
      <c r="AB14" s="11">
        <v>62.055867743673161</v>
      </c>
      <c r="AC14" s="11">
        <v>64.845086330684822</v>
      </c>
      <c r="AD14" s="11">
        <v>67.644210788474027</v>
      </c>
      <c r="AE14" s="11">
        <v>70.525016554657412</v>
      </c>
      <c r="AF14" s="11">
        <v>73.444153304689223</v>
      </c>
      <c r="AG14" s="11">
        <v>76.43605263393367</v>
      </c>
      <c r="AH14">
        <v>79.466088273958306</v>
      </c>
      <c r="AI14">
        <v>82.527854517932795</v>
      </c>
      <c r="AJ14">
        <v>85.62551833890177</v>
      </c>
      <c r="AK14">
        <v>88.764555830105067</v>
      </c>
      <c r="AL14">
        <v>91.885931833206627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2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79" t="str">
        <f>CONCATENATE("Qualification Figure 1.1  Employment by Qualification, ",$M$2,"-",$O$2," ",Info!B5)</f>
        <v>Qualification Figure 1.1  Employment by Qualification, 2010-2035 South West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0" customWidth="1"/>
    <col min="2" max="6" width="11.7109375" style="90" customWidth="1"/>
    <col min="7" max="7" width="5.7109375" style="90" customWidth="1"/>
    <col min="8" max="12" width="11.7109375" style="90" customWidth="1"/>
    <col min="13" max="16384" width="9.140625" style="90"/>
  </cols>
  <sheetData>
    <row r="1" spans="1:12" ht="15.75" x14ac:dyDescent="0.2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6"/>
      <c r="L3" s="116" t="s">
        <v>19</v>
      </c>
    </row>
    <row r="4" spans="1:12" x14ac:dyDescent="0.2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2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x14ac:dyDescent="0.2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2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2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2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2">
      <c r="H11" s="93"/>
      <c r="I11" s="93"/>
      <c r="J11" s="93"/>
      <c r="K11" s="93"/>
      <c r="L11" s="93"/>
    </row>
    <row r="12" spans="1:12" s="121" customFormat="1" x14ac:dyDescent="0.2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2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2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2">
      <c r="H15" s="93"/>
      <c r="I15" s="93"/>
      <c r="J15" s="93"/>
      <c r="K15" s="93"/>
      <c r="L15" s="93"/>
    </row>
    <row r="16" spans="1:12" s="121" customFormat="1" x14ac:dyDescent="0.2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2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2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2">
      <c r="H19" s="93"/>
      <c r="I19" s="93"/>
      <c r="J19" s="93"/>
      <c r="K19" s="93"/>
      <c r="L19" s="93"/>
    </row>
    <row r="20" spans="1:12" x14ac:dyDescent="0.2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2">
      <c r="A23" s="90" t="str">
        <f>CONCATENATE("Note: For ",Info!$A$1," there is no European LFS data for some of the ISCED Qualifications.")</f>
        <v>Note: For Region/Nation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10.140625" style="129" customWidth="1"/>
    <col min="4" max="4" width="3.7109375" style="129" customWidth="1"/>
    <col min="5" max="6" width="10.14062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5" width="10.140625" style="129" customWidth="1"/>
    <col min="16" max="16" width="3.7109375" style="129" customWidth="1"/>
    <col min="17" max="18" width="10.140625" style="129" customWidth="1"/>
    <col min="19" max="19" width="9.140625" style="129"/>
    <col min="20" max="20" width="16.7109375" style="129" customWidth="1"/>
    <col min="21" max="21" width="9.140625" style="129"/>
    <col min="22" max="22" width="8.85546875" style="129" customWidth="1"/>
    <col min="23" max="41" width="9.140625" style="129"/>
    <col min="42" max="46" width="9.140625" style="136" customWidth="1"/>
    <col min="47" max="49" width="9.140625" style="129"/>
    <col min="50" max="50" width="9.140625" style="129" customWidth="1"/>
    <col min="51" max="16384" width="9.140625" style="129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West</v>
      </c>
      <c r="W1" s="203" t="str">
        <f>CONCATENATE("Shift-share Figure 1: Levels of Employment, ",C4," - ",F40,", ",Info!B5)</f>
        <v>Shift-share Figure 1: Levels of Employment, 2015 - 2035, South West</v>
      </c>
      <c r="AK1" s="203" t="str">
        <f>CONCATENATE("Shift-share Figure 1.1: Net Changes, ",C4,"-",F40,", ",Info!B5)</f>
        <v>Shift-share Figure 1.1: Net Changes, 2015-2035, South West</v>
      </c>
    </row>
    <row r="2" spans="1:97" ht="18.75" customHeight="1" x14ac:dyDescent="0.25">
      <c r="A2" s="135" t="s">
        <v>537</v>
      </c>
      <c r="W2" s="203"/>
      <c r="AK2" s="203"/>
    </row>
    <row r="3" spans="1:97" x14ac:dyDescent="0.2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7" t="s">
        <v>53</v>
      </c>
      <c r="L3" s="377"/>
      <c r="M3" s="377"/>
      <c r="N3" s="377"/>
      <c r="O3" s="377"/>
      <c r="P3" s="377"/>
      <c r="Q3" s="377"/>
      <c r="R3" s="377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2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6" t="s">
        <v>56</v>
      </c>
      <c r="L4" s="376"/>
      <c r="M4" s="135"/>
      <c r="N4" s="376" t="s">
        <v>57</v>
      </c>
      <c r="O4" s="376"/>
      <c r="P4" s="135"/>
      <c r="Q4" s="376" t="s">
        <v>58</v>
      </c>
      <c r="R4" s="376"/>
      <c r="AW4" s="136"/>
      <c r="AX4" s="136"/>
      <c r="AY4" s="138"/>
    </row>
    <row r="5" spans="1:97" x14ac:dyDescent="0.2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2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2">
      <c r="A8" s="10" t="str">
        <f>name!$D4</f>
        <v>11 Corporate managers and directors</v>
      </c>
      <c r="B8" s="150">
        <v>178.28774463132186</v>
      </c>
      <c r="C8" s="140">
        <f t="shared" ref="C8:C33" si="0">B8/B$35*100</f>
        <v>6.3270797980697537</v>
      </c>
      <c r="E8" s="150">
        <v>220.42416840586966</v>
      </c>
      <c r="F8" s="140">
        <f t="shared" ref="F8:F33" si="1">E8/E$35*100</f>
        <v>7.5240697206171268</v>
      </c>
      <c r="H8" s="150">
        <f>E8-B8</f>
        <v>42.136423774547808</v>
      </c>
      <c r="I8" s="140">
        <f>IF(B8&lt;&gt;0,((E8/B8)-1)*100,0)</f>
        <v>23.63394290599221</v>
      </c>
      <c r="K8" s="207">
        <f t="shared" ref="K8:K33" si="2">(($E$35/$B$35)-1)*B8</f>
        <v>7.0695626123322572</v>
      </c>
      <c r="L8" s="140">
        <f>IF(B8&lt;&gt;0,K8/B8*100,0)</f>
        <v>3.9652543852362276</v>
      </c>
      <c r="N8" s="150">
        <f>H8-(K8+Q8)</f>
        <v>35.194258850022436</v>
      </c>
      <c r="O8" s="140">
        <f>IF(B8&lt;&gt;0,N8/B8*100,0)</f>
        <v>19.740144743431486</v>
      </c>
      <c r="Q8" s="150">
        <v>-0.12739768780688687</v>
      </c>
      <c r="R8" s="140">
        <f>IF(B8&lt;&gt;0,Q8/B8*100,0)</f>
        <v>-7.145622267550153E-2</v>
      </c>
      <c r="AT8" s="136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0">
        <v>103.43021572953465</v>
      </c>
      <c r="C9" s="140">
        <f t="shared" si="0"/>
        <v>3.6705339999986029</v>
      </c>
      <c r="E9" s="150">
        <v>116.24748966700469</v>
      </c>
      <c r="F9" s="140">
        <f t="shared" si="1"/>
        <v>3.9680504339739686</v>
      </c>
      <c r="H9" s="150">
        <f t="shared" ref="H9:H32" si="3">E9-B9</f>
        <v>12.817273937470034</v>
      </c>
      <c r="I9" s="140">
        <f t="shared" ref="I9:I35" si="4">IF(B9&lt;&gt;0,((E9/B9)-1)*100,0)</f>
        <v>12.392194918152954</v>
      </c>
      <c r="K9" s="207">
        <f t="shared" si="2"/>
        <v>4.1012711648746629</v>
      </c>
      <c r="L9" s="140">
        <f t="shared" ref="L9:L32" si="5">IF(B9&lt;&gt;0,K9/B9*100,0)</f>
        <v>3.9652543852362276</v>
      </c>
      <c r="N9" s="150">
        <f t="shared" ref="N9:N31" si="6">H9-(K9+Q9)</f>
        <v>4.6079761941435962</v>
      </c>
      <c r="O9" s="140">
        <f>IF(B9&lt;&gt;0,N9/B9*100,0)</f>
        <v>4.4551547743004285</v>
      </c>
      <c r="Q9" s="150">
        <v>4.1080265784517751</v>
      </c>
      <c r="R9" s="140">
        <f>IF(B9&lt;&gt;0,Q9/B9*100,0)</f>
        <v>3.9717857586163015</v>
      </c>
      <c r="T9" s="135"/>
    </row>
    <row r="10" spans="1:97" x14ac:dyDescent="0.2">
      <c r="A10" s="10" t="str">
        <f>name!$D6</f>
        <v>21 Science, research, engineering and technology professionals</v>
      </c>
      <c r="B10" s="150">
        <v>147.35087953346306</v>
      </c>
      <c r="C10" s="140">
        <f t="shared" si="0"/>
        <v>5.2291915804525591</v>
      </c>
      <c r="E10" s="150">
        <v>174.78975240588667</v>
      </c>
      <c r="F10" s="140">
        <f t="shared" si="1"/>
        <v>5.9663615521948179</v>
      </c>
      <c r="H10" s="150">
        <f t="shared" si="3"/>
        <v>27.438872872423616</v>
      </c>
      <c r="I10" s="140">
        <f t="shared" si="4"/>
        <v>18.621451707176483</v>
      </c>
      <c r="K10" s="207">
        <f t="shared" si="2"/>
        <v>5.8428372123847954</v>
      </c>
      <c r="L10" s="140">
        <f t="shared" si="5"/>
        <v>3.9652543852362276</v>
      </c>
      <c r="N10" s="150">
        <f t="shared" si="6"/>
        <v>20.587364675938122</v>
      </c>
      <c r="O10" s="140">
        <f t="shared" ref="O10:O32" si="7">IF(B10&lt;&gt;0,N10/B10*100,0)</f>
        <v>13.971660529696925</v>
      </c>
      <c r="Q10" s="150">
        <v>1.0086709841006991</v>
      </c>
      <c r="R10" s="140">
        <f t="shared" ref="R10:R32" si="8">IF(B10&lt;&gt;0,Q10/B10*100,0)</f>
        <v>0.68453679224332842</v>
      </c>
      <c r="AT10" s="136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0">
        <v>123.14430616433667</v>
      </c>
      <c r="C11" s="140">
        <f t="shared" si="0"/>
        <v>4.3701481186543099</v>
      </c>
      <c r="E11" s="150">
        <v>136.06688372711437</v>
      </c>
      <c r="F11" s="140">
        <f t="shared" si="1"/>
        <v>4.6445756254133626</v>
      </c>
      <c r="H11" s="150">
        <f>E11-B11</f>
        <v>12.922577562777704</v>
      </c>
      <c r="I11" s="140">
        <f>IF(B11&lt;&gt;0,((E11/B11)-1)*100,0)</f>
        <v>10.493849017698365</v>
      </c>
      <c r="K11" s="207">
        <f t="shared" si="2"/>
        <v>4.8829850003500859</v>
      </c>
      <c r="L11" s="140">
        <f t="shared" si="5"/>
        <v>3.9652543852362276</v>
      </c>
      <c r="N11" s="150">
        <f t="shared" si="6"/>
        <v>15.225876581065254</v>
      </c>
      <c r="O11" s="140">
        <f t="shared" si="7"/>
        <v>12.364255445758285</v>
      </c>
      <c r="Q11" s="150">
        <v>-7.1862840186376351</v>
      </c>
      <c r="R11" s="140">
        <f>IF(B11&lt;&gt;0,Q11/B11*100,0)</f>
        <v>-5.8356608132961538</v>
      </c>
      <c r="T11" s="135"/>
    </row>
    <row r="12" spans="1:97" x14ac:dyDescent="0.2">
      <c r="A12" s="10" t="str">
        <f>name!$D8</f>
        <v>23 Teaching and other educational professionals</v>
      </c>
      <c r="B12" s="150">
        <v>131.96078482642613</v>
      </c>
      <c r="C12" s="140">
        <f t="shared" si="0"/>
        <v>4.6830275268737092</v>
      </c>
      <c r="E12" s="150">
        <v>147.16638535201332</v>
      </c>
      <c r="F12" s="140">
        <f t="shared" si="1"/>
        <v>5.0234516111721863</v>
      </c>
      <c r="H12" s="150">
        <f t="shared" si="3"/>
        <v>15.205600525587187</v>
      </c>
      <c r="I12" s="140">
        <f t="shared" si="4"/>
        <v>11.522817589776979</v>
      </c>
      <c r="K12" s="207">
        <f t="shared" si="2"/>
        <v>5.2325808071220052</v>
      </c>
      <c r="L12" s="140">
        <f t="shared" si="5"/>
        <v>3.9652543852362276</v>
      </c>
      <c r="N12" s="150">
        <f t="shared" si="6"/>
        <v>13.626194047249744</v>
      </c>
      <c r="O12" s="140">
        <f t="shared" si="7"/>
        <v>10.325941957054043</v>
      </c>
      <c r="Q12" s="150">
        <v>-3.6531743287845613</v>
      </c>
      <c r="R12" s="140">
        <f t="shared" si="8"/>
        <v>-2.7683787525132888</v>
      </c>
      <c r="AT12" s="136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0">
        <v>153.3672600969031</v>
      </c>
      <c r="C13" s="140">
        <f t="shared" si="0"/>
        <v>5.4427010395528308</v>
      </c>
      <c r="E13" s="150">
        <v>195.24119605405735</v>
      </c>
      <c r="F13" s="140">
        <f t="shared" si="1"/>
        <v>6.6644614430052069</v>
      </c>
      <c r="H13" s="150">
        <f t="shared" si="3"/>
        <v>41.873935957154259</v>
      </c>
      <c r="I13" s="140">
        <f t="shared" si="4"/>
        <v>27.303047554410732</v>
      </c>
      <c r="K13" s="207">
        <f t="shared" si="2"/>
        <v>6.0814020065091015</v>
      </c>
      <c r="L13" s="140">
        <f t="shared" si="5"/>
        <v>3.9652543852362276</v>
      </c>
      <c r="N13" s="150">
        <f>H13-(K13+Q13)</f>
        <v>34.499893736035496</v>
      </c>
      <c r="O13" s="140">
        <f>IF(B13&lt;&gt;0,N13/B13*100,0)</f>
        <v>22.494953430241363</v>
      </c>
      <c r="Q13" s="150">
        <v>1.2926402146096636</v>
      </c>
      <c r="R13" s="140">
        <f t="shared" si="8"/>
        <v>0.84283973893315034</v>
      </c>
      <c r="T13" s="135"/>
    </row>
    <row r="14" spans="1:97" x14ac:dyDescent="0.2">
      <c r="A14" s="10" t="str">
        <f>name!$D10</f>
        <v>31 Science, engineering and technology associate professionals</v>
      </c>
      <c r="B14" s="150">
        <v>43.995185541434438</v>
      </c>
      <c r="C14" s="140">
        <f t="shared" si="0"/>
        <v>1.5613022096788447</v>
      </c>
      <c r="E14" s="150">
        <v>57.22704281714396</v>
      </c>
      <c r="F14" s="140">
        <f t="shared" si="1"/>
        <v>1.9534167381686574</v>
      </c>
      <c r="H14" s="150">
        <f t="shared" si="3"/>
        <v>13.231857275709523</v>
      </c>
      <c r="I14" s="140">
        <f t="shared" si="4"/>
        <v>30.075693767100553</v>
      </c>
      <c r="K14" s="207">
        <f t="shared" si="2"/>
        <v>1.7445210239745439</v>
      </c>
      <c r="L14" s="140">
        <f>IF(B14&lt;&gt;0,K14/B14*100,0)</f>
        <v>3.9652543852362276</v>
      </c>
      <c r="N14" s="150">
        <f t="shared" si="6"/>
        <v>10.627800630251469</v>
      </c>
      <c r="O14" s="140">
        <f t="shared" si="7"/>
        <v>24.156735559717692</v>
      </c>
      <c r="Q14" s="150">
        <v>0.85953562148350893</v>
      </c>
      <c r="R14" s="140">
        <f t="shared" si="8"/>
        <v>1.9537038221466363</v>
      </c>
      <c r="AT14" s="136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0">
        <v>54.70334863148971</v>
      </c>
      <c r="C15" s="140">
        <f t="shared" si="0"/>
        <v>1.9413137606781963</v>
      </c>
      <c r="E15" s="150">
        <v>58.891200721634888</v>
      </c>
      <c r="F15" s="140">
        <f t="shared" si="1"/>
        <v>2.0102219432877724</v>
      </c>
      <c r="H15" s="150">
        <f t="shared" si="3"/>
        <v>4.1878520901451779</v>
      </c>
      <c r="I15" s="140">
        <f t="shared" si="4"/>
        <v>7.6555680683402683</v>
      </c>
      <c r="K15" s="207">
        <f t="shared" si="2"/>
        <v>2.1691269304812075</v>
      </c>
      <c r="L15" s="140">
        <f t="shared" si="5"/>
        <v>3.9652543852362276</v>
      </c>
      <c r="N15" s="150">
        <f t="shared" si="6"/>
        <v>5.2523180635610336</v>
      </c>
      <c r="O15" s="140">
        <f t="shared" si="7"/>
        <v>9.6014562087293562</v>
      </c>
      <c r="Q15" s="150">
        <v>-3.2335929038970632</v>
      </c>
      <c r="R15" s="140">
        <f t="shared" si="8"/>
        <v>-5.9111425256253174</v>
      </c>
      <c r="T15" s="11"/>
    </row>
    <row r="16" spans="1:97" x14ac:dyDescent="0.2">
      <c r="A16" s="10" t="str">
        <f>name!$D12</f>
        <v>33 Protective service occupations</v>
      </c>
      <c r="B16" s="150">
        <v>18.918456756356868</v>
      </c>
      <c r="C16" s="140">
        <f t="shared" si="0"/>
        <v>0.67137865141165165</v>
      </c>
      <c r="E16" s="150">
        <v>21.197229754485431</v>
      </c>
      <c r="F16" s="140">
        <f t="shared" si="1"/>
        <v>0.72355692985089748</v>
      </c>
      <c r="H16" s="150">
        <f t="shared" si="3"/>
        <v>2.2787729981285629</v>
      </c>
      <c r="I16" s="140">
        <f t="shared" si="4"/>
        <v>12.045237238300977</v>
      </c>
      <c r="K16" s="207">
        <f t="shared" si="2"/>
        <v>0.75016493615046009</v>
      </c>
      <c r="L16" s="140">
        <f t="shared" si="5"/>
        <v>3.9652543852362276</v>
      </c>
      <c r="N16" s="150">
        <f t="shared" si="6"/>
        <v>1.231499680048052</v>
      </c>
      <c r="O16" s="140">
        <f t="shared" si="7"/>
        <v>6.5095144699593472</v>
      </c>
      <c r="Q16" s="150">
        <v>0.29710838193005074</v>
      </c>
      <c r="R16" s="140">
        <f t="shared" si="8"/>
        <v>1.5704683831053934</v>
      </c>
      <c r="T16" s="11"/>
    </row>
    <row r="17" spans="1:20" x14ac:dyDescent="0.2">
      <c r="A17" s="10" t="str">
        <f>name!$D13</f>
        <v>34 Culture, media and sports occupations</v>
      </c>
      <c r="B17" s="150">
        <v>57.633479740380658</v>
      </c>
      <c r="C17" s="140">
        <f t="shared" si="0"/>
        <v>2.0452983244130531</v>
      </c>
      <c r="E17" s="150">
        <v>62.187444415764752</v>
      </c>
      <c r="F17" s="140">
        <f t="shared" si="1"/>
        <v>2.1227375877842096</v>
      </c>
      <c r="H17" s="150">
        <f t="shared" si="3"/>
        <v>4.5539646753840941</v>
      </c>
      <c r="I17" s="140">
        <f t="shared" si="4"/>
        <v>7.9015959055364515</v>
      </c>
      <c r="K17" s="207">
        <f t="shared" si="2"/>
        <v>2.285314082769677</v>
      </c>
      <c r="L17" s="140">
        <f t="shared" si="5"/>
        <v>3.9652543852362276</v>
      </c>
      <c r="N17" s="150">
        <f t="shared" si="6"/>
        <v>3.5253312846449445</v>
      </c>
      <c r="O17" s="140">
        <f t="shared" si="7"/>
        <v>6.1168114445377411</v>
      </c>
      <c r="Q17" s="150">
        <v>-1.2566806920305273</v>
      </c>
      <c r="R17" s="140">
        <f t="shared" si="8"/>
        <v>-2.1804699242375247</v>
      </c>
      <c r="T17" s="11"/>
    </row>
    <row r="18" spans="1:20" x14ac:dyDescent="0.2">
      <c r="A18" s="10" t="str">
        <f>name!$D14</f>
        <v>35 Business and public service associate professionals</v>
      </c>
      <c r="B18" s="150">
        <v>156.95041475761286</v>
      </c>
      <c r="C18" s="140">
        <f t="shared" si="0"/>
        <v>5.5698601189052397</v>
      </c>
      <c r="E18" s="150">
        <v>176.2464226534758</v>
      </c>
      <c r="F18" s="140">
        <f t="shared" si="1"/>
        <v>6.0160842690006637</v>
      </c>
      <c r="H18" s="150">
        <f t="shared" si="3"/>
        <v>19.296007895862942</v>
      </c>
      <c r="I18" s="140">
        <f t="shared" si="4"/>
        <v>12.294333803235125</v>
      </c>
      <c r="K18" s="207">
        <f t="shared" si="2"/>
        <v>6.223483203822691</v>
      </c>
      <c r="L18" s="140">
        <f t="shared" si="5"/>
        <v>3.9652543852362276</v>
      </c>
      <c r="N18" s="150">
        <f t="shared" si="6"/>
        <v>12.796763163753322</v>
      </c>
      <c r="O18" s="140">
        <f t="shared" si="7"/>
        <v>8.1533796412810169</v>
      </c>
      <c r="Q18" s="150">
        <v>0.27576152828692935</v>
      </c>
      <c r="R18" s="140">
        <f t="shared" si="8"/>
        <v>0.1756997767178908</v>
      </c>
      <c r="T18" s="11"/>
    </row>
    <row r="19" spans="1:20" x14ac:dyDescent="0.2">
      <c r="A19" s="10" t="str">
        <f>name!$D15</f>
        <v>41 Administrative occupations</v>
      </c>
      <c r="B19" s="150">
        <v>230.65190493606553</v>
      </c>
      <c r="C19" s="140">
        <f t="shared" si="0"/>
        <v>8.1853803867733959</v>
      </c>
      <c r="E19" s="150">
        <v>240.29715716047514</v>
      </c>
      <c r="F19" s="140">
        <f t="shared" si="1"/>
        <v>8.2024243403853543</v>
      </c>
      <c r="H19" s="150">
        <f t="shared" si="3"/>
        <v>9.6452522244096031</v>
      </c>
      <c r="I19" s="140">
        <f t="shared" si="4"/>
        <v>4.1817353414371983</v>
      </c>
      <c r="K19" s="207">
        <f t="shared" si="2"/>
        <v>9.145934775108234</v>
      </c>
      <c r="L19" s="140">
        <f t="shared" si="5"/>
        <v>3.9652543852362276</v>
      </c>
      <c r="N19" s="150">
        <f t="shared" si="6"/>
        <v>-0.72041958073568146</v>
      </c>
      <c r="O19" s="140">
        <f t="shared" si="7"/>
        <v>-0.31234061601848673</v>
      </c>
      <c r="Q19" s="150">
        <v>1.2197370300370503</v>
      </c>
      <c r="R19" s="140">
        <f t="shared" si="8"/>
        <v>0.52882157221946613</v>
      </c>
      <c r="T19" s="11"/>
    </row>
    <row r="20" spans="1:20" x14ac:dyDescent="0.2">
      <c r="A20" s="10" t="str">
        <f>name!$D16</f>
        <v>42 Secretarial and related occupations</v>
      </c>
      <c r="B20" s="150">
        <v>59.576249167735241</v>
      </c>
      <c r="C20" s="140">
        <f t="shared" si="0"/>
        <v>2.1142433728881533</v>
      </c>
      <c r="E20" s="150">
        <v>54.043742760928943</v>
      </c>
      <c r="F20" s="140">
        <f t="shared" si="1"/>
        <v>1.8447563687644082</v>
      </c>
      <c r="H20" s="150">
        <f t="shared" si="3"/>
        <v>-5.5325064068062986</v>
      </c>
      <c r="I20" s="140">
        <f t="shared" si="4"/>
        <v>-9.286429548845355</v>
      </c>
      <c r="K20" s="207">
        <f t="shared" si="2"/>
        <v>2.3623498326828831</v>
      </c>
      <c r="L20" s="140">
        <f t="shared" si="5"/>
        <v>3.9652543852362276</v>
      </c>
      <c r="N20" s="150">
        <f t="shared" si="6"/>
        <v>-8.4840973277179081</v>
      </c>
      <c r="O20" s="140">
        <f t="shared" si="7"/>
        <v>-14.240737619837684</v>
      </c>
      <c r="Q20" s="150">
        <v>0.58924108822872712</v>
      </c>
      <c r="R20" s="140">
        <f t="shared" si="8"/>
        <v>0.98905368575610642</v>
      </c>
      <c r="T20" s="11"/>
    </row>
    <row r="21" spans="1:20" x14ac:dyDescent="0.2">
      <c r="A21" s="10" t="str">
        <f>name!$D17</f>
        <v>51 Skilled agricultural and related trades</v>
      </c>
      <c r="B21" s="150">
        <v>41.074614853304986</v>
      </c>
      <c r="C21" s="140">
        <f t="shared" si="0"/>
        <v>1.4576569263874424</v>
      </c>
      <c r="E21" s="150">
        <v>43.38976416600206</v>
      </c>
      <c r="F21" s="140">
        <f t="shared" si="1"/>
        <v>1.4810880907805235</v>
      </c>
      <c r="H21" s="150">
        <f t="shared" si="3"/>
        <v>2.3151493126970735</v>
      </c>
      <c r="I21" s="140">
        <f t="shared" si="4"/>
        <v>5.6364480128796357</v>
      </c>
      <c r="K21" s="207">
        <f t="shared" si="2"/>
        <v>1.6287129666895668</v>
      </c>
      <c r="L21" s="140">
        <f t="shared" si="5"/>
        <v>3.9652543852362276</v>
      </c>
      <c r="N21" s="150">
        <f t="shared" si="6"/>
        <v>-3.3419933336409287</v>
      </c>
      <c r="O21" s="140">
        <f t="shared" si="7"/>
        <v>-8.1363960333568954</v>
      </c>
      <c r="Q21" s="150">
        <v>4.0284296796484353</v>
      </c>
      <c r="R21" s="140">
        <f t="shared" si="8"/>
        <v>9.8075896610003035</v>
      </c>
      <c r="T21" s="11"/>
    </row>
    <row r="22" spans="1:20" x14ac:dyDescent="0.2">
      <c r="A22" s="10" t="str">
        <f>name!$D18</f>
        <v>52 Skilled metal, electrical and electronic trades</v>
      </c>
      <c r="B22" s="150">
        <v>119.78442551978591</v>
      </c>
      <c r="C22" s="140">
        <f t="shared" si="0"/>
        <v>4.2509125929931262</v>
      </c>
      <c r="E22" s="150">
        <v>105.38577813988417</v>
      </c>
      <c r="F22" s="140">
        <f t="shared" si="1"/>
        <v>3.5972912953263152</v>
      </c>
      <c r="H22" s="150">
        <f t="shared" si="3"/>
        <v>-14.398647379901746</v>
      </c>
      <c r="I22" s="140">
        <f t="shared" si="4"/>
        <v>-12.020467032688975</v>
      </c>
      <c r="K22" s="207">
        <f t="shared" si="2"/>
        <v>4.7497571857533343</v>
      </c>
      <c r="L22" s="140">
        <f t="shared" si="5"/>
        <v>3.9652543852362276</v>
      </c>
      <c r="N22" s="150">
        <f t="shared" si="6"/>
        <v>-15.563027623670823</v>
      </c>
      <c r="O22" s="140">
        <f t="shared" si="7"/>
        <v>-12.992530169208127</v>
      </c>
      <c r="Q22" s="150">
        <v>-3.5853769419842565</v>
      </c>
      <c r="R22" s="140">
        <f t="shared" si="8"/>
        <v>-2.9931912487170766</v>
      </c>
      <c r="T22" s="11"/>
    </row>
    <row r="23" spans="1:20" x14ac:dyDescent="0.2">
      <c r="A23" s="10" t="str">
        <f>name!$D19</f>
        <v>53 Skilled construction and building trades</v>
      </c>
      <c r="B23" s="150">
        <v>111.7064966465005</v>
      </c>
      <c r="C23" s="140">
        <f t="shared" si="0"/>
        <v>3.9642428575601185</v>
      </c>
      <c r="E23" s="150">
        <v>93.794072482198729</v>
      </c>
      <c r="F23" s="140">
        <f t="shared" si="1"/>
        <v>3.2016141689020299</v>
      </c>
      <c r="H23" s="150">
        <f t="shared" si="3"/>
        <v>-17.912424164301768</v>
      </c>
      <c r="I23" s="140">
        <f t="shared" si="4"/>
        <v>-16.03525730556775</v>
      </c>
      <c r="K23" s="207">
        <f t="shared" si="2"/>
        <v>4.4294467568691207</v>
      </c>
      <c r="L23" s="140">
        <f t="shared" si="5"/>
        <v>3.9652543852362276</v>
      </c>
      <c r="N23" s="150">
        <f t="shared" si="6"/>
        <v>-29.87044178399309</v>
      </c>
      <c r="O23" s="140">
        <f t="shared" si="7"/>
        <v>-26.740111525043393</v>
      </c>
      <c r="Q23" s="150">
        <v>7.5285708628222006</v>
      </c>
      <c r="R23" s="140">
        <f t="shared" si="8"/>
        <v>6.739599834239411</v>
      </c>
      <c r="T23" s="11"/>
    </row>
    <row r="24" spans="1:20" x14ac:dyDescent="0.2">
      <c r="A24" s="10" t="str">
        <f>name!$D20</f>
        <v>54 Textiles, printing and other skilled trades</v>
      </c>
      <c r="B24" s="150">
        <v>59.378092512611914</v>
      </c>
      <c r="C24" s="140">
        <f t="shared" si="0"/>
        <v>2.1072111847134893</v>
      </c>
      <c r="E24" s="150">
        <v>55.443570145470069</v>
      </c>
      <c r="F24" s="140">
        <f t="shared" si="1"/>
        <v>1.8925387826180609</v>
      </c>
      <c r="H24" s="150">
        <f t="shared" si="3"/>
        <v>-3.9345223671418452</v>
      </c>
      <c r="I24" s="140">
        <f t="shared" si="4"/>
        <v>-6.6262188639794273</v>
      </c>
      <c r="K24" s="207">
        <f t="shared" si="2"/>
        <v>2.354492417225968</v>
      </c>
      <c r="L24" s="140">
        <f t="shared" si="5"/>
        <v>3.9652543852362276</v>
      </c>
      <c r="N24" s="150">
        <f t="shared" si="6"/>
        <v>-9.7333300456119343</v>
      </c>
      <c r="O24" s="140">
        <f t="shared" si="7"/>
        <v>-16.392123144650654</v>
      </c>
      <c r="Q24" s="150">
        <v>3.4443152612441215</v>
      </c>
      <c r="R24" s="140">
        <f t="shared" si="8"/>
        <v>5.8006498954350016</v>
      </c>
      <c r="T24" s="11"/>
    </row>
    <row r="25" spans="1:20" x14ac:dyDescent="0.2">
      <c r="A25" s="10" t="str">
        <f>name!$D21</f>
        <v>61 Caring personal service occupations</v>
      </c>
      <c r="B25" s="150">
        <v>226.34981501818203</v>
      </c>
      <c r="C25" s="140">
        <f t="shared" si="0"/>
        <v>8.0327077156079874</v>
      </c>
      <c r="E25" s="150">
        <v>213.74995100728043</v>
      </c>
      <c r="F25" s="140">
        <f t="shared" si="1"/>
        <v>7.2962486182365769</v>
      </c>
      <c r="H25" s="150">
        <f t="shared" si="3"/>
        <v>-12.599864010901598</v>
      </c>
      <c r="I25" s="140">
        <f t="shared" si="4"/>
        <v>-5.5665448676816887</v>
      </c>
      <c r="K25" s="207">
        <f t="shared" si="2"/>
        <v>8.9753459659825516</v>
      </c>
      <c r="L25" s="140">
        <f t="shared" si="5"/>
        <v>3.9652543852362276</v>
      </c>
      <c r="N25" s="150">
        <f t="shared" si="6"/>
        <v>-8.0815480927906478</v>
      </c>
      <c r="O25" s="140">
        <f t="shared" si="7"/>
        <v>-3.5703798088553689</v>
      </c>
      <c r="Q25" s="150">
        <v>-13.493661884093502</v>
      </c>
      <c r="R25" s="140">
        <f t="shared" si="8"/>
        <v>-5.9614194440625434</v>
      </c>
      <c r="T25" s="11"/>
    </row>
    <row r="26" spans="1:20" x14ac:dyDescent="0.2">
      <c r="A26" s="10" t="str">
        <f>name!$D22</f>
        <v>62 Leisure, travel and related personal service occupations</v>
      </c>
      <c r="B26" s="150">
        <v>61.407742014586113</v>
      </c>
      <c r="C26" s="140">
        <f t="shared" si="0"/>
        <v>2.1792394353801772</v>
      </c>
      <c r="E26" s="150">
        <v>60.737895765777509</v>
      </c>
      <c r="F26" s="140">
        <f t="shared" si="1"/>
        <v>2.0732579631822099</v>
      </c>
      <c r="H26" s="150">
        <f t="shared" si="3"/>
        <v>-0.66984624880860366</v>
      </c>
      <c r="I26" s="140">
        <f t="shared" si="4"/>
        <v>-1.0908172598977806</v>
      </c>
      <c r="K26" s="207">
        <f t="shared" si="2"/>
        <v>2.4349731831079251</v>
      </c>
      <c r="L26" s="140">
        <f t="shared" si="5"/>
        <v>3.9652543852362276</v>
      </c>
      <c r="N26" s="150">
        <f t="shared" si="6"/>
        <v>-3.1407768066079997</v>
      </c>
      <c r="O26" s="140">
        <f t="shared" si="7"/>
        <v>-5.1146267613324303</v>
      </c>
      <c r="Q26" s="150">
        <v>3.5957374691471103E-2</v>
      </c>
      <c r="R26" s="140">
        <f t="shared" si="8"/>
        <v>5.8555116198426876E-2</v>
      </c>
      <c r="T26" s="11"/>
    </row>
    <row r="27" spans="1:20" x14ac:dyDescent="0.2">
      <c r="A27" s="10" t="str">
        <f>name!$D23</f>
        <v>63 Community and civil enforcement occupations</v>
      </c>
      <c r="B27" s="150">
        <v>2.3131508259259101</v>
      </c>
      <c r="C27" s="140">
        <f t="shared" si="0"/>
        <v>8.2089152515046226E-2</v>
      </c>
      <c r="E27" s="150">
        <v>2.5974855797046024</v>
      </c>
      <c r="F27" s="140">
        <f t="shared" si="1"/>
        <v>8.8663882646521058E-2</v>
      </c>
      <c r="H27" s="150">
        <f t="shared" si="3"/>
        <v>0.28433475377869222</v>
      </c>
      <c r="I27" s="140">
        <f t="shared" si="4"/>
        <v>12.292097453908069</v>
      </c>
      <c r="K27" s="207">
        <f t="shared" si="2"/>
        <v>9.1722314562155169E-2</v>
      </c>
      <c r="L27" s="140">
        <f t="shared" si="5"/>
        <v>3.9652543852362276</v>
      </c>
      <c r="N27" s="150">
        <f t="shared" si="6"/>
        <v>0.17400425092880056</v>
      </c>
      <c r="O27" s="140">
        <f t="shared" si="7"/>
        <v>7.5223910597853036</v>
      </c>
      <c r="Q27" s="150">
        <v>1.8608188287736492E-2</v>
      </c>
      <c r="R27" s="140">
        <f t="shared" si="8"/>
        <v>0.80445200888653645</v>
      </c>
      <c r="T27" s="171"/>
    </row>
    <row r="28" spans="1:20" x14ac:dyDescent="0.2">
      <c r="A28" s="10" t="str">
        <f>name!$D24</f>
        <v>71 Sales occupations</v>
      </c>
      <c r="B28" s="150">
        <v>215.33943518586108</v>
      </c>
      <c r="C28" s="140">
        <f t="shared" si="0"/>
        <v>7.6419710895420243</v>
      </c>
      <c r="E28" s="150">
        <v>205.71646638462903</v>
      </c>
      <c r="F28" s="140">
        <f t="shared" si="1"/>
        <v>7.0220296029739782</v>
      </c>
      <c r="H28" s="150">
        <f t="shared" si="3"/>
        <v>-9.622968801232048</v>
      </c>
      <c r="I28" s="140">
        <f t="shared" si="4"/>
        <v>-4.4687443305153955</v>
      </c>
      <c r="K28" s="207">
        <f t="shared" si="2"/>
        <v>8.53875639685028</v>
      </c>
      <c r="L28" s="140">
        <f t="shared" si="5"/>
        <v>3.9652543852362276</v>
      </c>
      <c r="N28" s="150">
        <f t="shared" si="6"/>
        <v>-23.446622625008303</v>
      </c>
      <c r="O28" s="140">
        <f t="shared" si="7"/>
        <v>-10.88821590191845</v>
      </c>
      <c r="Q28" s="150">
        <v>5.2848974269259754</v>
      </c>
      <c r="R28" s="140">
        <f t="shared" si="8"/>
        <v>2.4542171861668258</v>
      </c>
      <c r="T28" s="11"/>
    </row>
    <row r="29" spans="1:20" x14ac:dyDescent="0.2">
      <c r="A29" s="10" t="str">
        <f>name!$D25</f>
        <v>72 Customer service occupations</v>
      </c>
      <c r="B29" s="150">
        <v>41.500878516960952</v>
      </c>
      <c r="C29" s="140">
        <f t="shared" si="0"/>
        <v>1.4727841816036995</v>
      </c>
      <c r="E29" s="150">
        <v>47.713083005611892</v>
      </c>
      <c r="F29" s="140">
        <f t="shared" si="1"/>
        <v>1.6286624362297304</v>
      </c>
      <c r="H29" s="150">
        <f t="shared" si="3"/>
        <v>6.21220448865094</v>
      </c>
      <c r="I29" s="140">
        <f t="shared" si="4"/>
        <v>14.96885056568642</v>
      </c>
      <c r="K29" s="207">
        <f t="shared" si="2"/>
        <v>1.6456154053053538</v>
      </c>
      <c r="L29" s="140">
        <f t="shared" si="5"/>
        <v>3.9652543852362276</v>
      </c>
      <c r="N29" s="150">
        <f t="shared" si="6"/>
        <v>3.8809652536874859</v>
      </c>
      <c r="O29" s="140">
        <f t="shared" si="7"/>
        <v>9.3515255396373789</v>
      </c>
      <c r="Q29" s="150">
        <v>0.68562382965810009</v>
      </c>
      <c r="R29" s="140">
        <f t="shared" si="8"/>
        <v>1.6520706408128039</v>
      </c>
      <c r="T29" s="11"/>
    </row>
    <row r="30" spans="1:20" x14ac:dyDescent="0.2">
      <c r="A30" s="10" t="str">
        <f>name!$D26</f>
        <v>81 Process, plant and machine operatives</v>
      </c>
      <c r="B30" s="150">
        <v>73.880158585249745</v>
      </c>
      <c r="C30" s="140">
        <f t="shared" si="0"/>
        <v>2.6218608566143802</v>
      </c>
      <c r="E30" s="150">
        <v>62.582118755619781</v>
      </c>
      <c r="F30" s="140">
        <f t="shared" si="1"/>
        <v>2.1362096007285429</v>
      </c>
      <c r="H30" s="150">
        <f t="shared" si="3"/>
        <v>-11.298039829629964</v>
      </c>
      <c r="I30" s="140">
        <f t="shared" si="4"/>
        <v>-15.292387084677472</v>
      </c>
      <c r="K30" s="207">
        <f t="shared" si="2"/>
        <v>2.929536228121095</v>
      </c>
      <c r="L30" s="140">
        <f t="shared" si="5"/>
        <v>3.9652543852362276</v>
      </c>
      <c r="N30" s="150">
        <f t="shared" si="6"/>
        <v>-14.599908082496874</v>
      </c>
      <c r="O30" s="140">
        <f t="shared" si="7"/>
        <v>-19.761609019355518</v>
      </c>
      <c r="Q30" s="150">
        <v>0.37233202474581417</v>
      </c>
      <c r="R30" s="140">
        <f t="shared" si="8"/>
        <v>0.50396754944182087</v>
      </c>
      <c r="T30" s="11"/>
    </row>
    <row r="31" spans="1:20" x14ac:dyDescent="0.2">
      <c r="A31" s="10" t="str">
        <f>name!$D27</f>
        <v>82 Transport and mobile machine drivers and operatives</v>
      </c>
      <c r="B31" s="150">
        <v>85.619333849694627</v>
      </c>
      <c r="C31" s="140">
        <f t="shared" si="0"/>
        <v>3.038460992620704</v>
      </c>
      <c r="E31" s="150">
        <v>82.153643253397007</v>
      </c>
      <c r="F31" s="140">
        <f t="shared" si="1"/>
        <v>2.8042738875307731</v>
      </c>
      <c r="H31" s="150">
        <f t="shared" si="3"/>
        <v>-3.4656905962976197</v>
      </c>
      <c r="I31" s="140">
        <f t="shared" si="4"/>
        <v>-4.0477897227998323</v>
      </c>
      <c r="K31" s="207">
        <f t="shared" si="2"/>
        <v>3.3950243900850618</v>
      </c>
      <c r="L31" s="140">
        <f t="shared" si="5"/>
        <v>3.9652543852362276</v>
      </c>
      <c r="N31" s="150">
        <f t="shared" si="6"/>
        <v>-4.1232068706824592</v>
      </c>
      <c r="O31" s="140">
        <f t="shared" si="7"/>
        <v>-4.8157427595977094</v>
      </c>
      <c r="Q31" s="150">
        <v>-2.7375081157002219</v>
      </c>
      <c r="R31" s="140">
        <f t="shared" si="8"/>
        <v>-3.1973013484383537</v>
      </c>
      <c r="T31" s="11"/>
    </row>
    <row r="32" spans="1:20" x14ac:dyDescent="0.2">
      <c r="A32" s="10" t="str">
        <f>name!$D28</f>
        <v>91 Elementary trades and related occupations</v>
      </c>
      <c r="B32" s="150">
        <v>51.619419586461767</v>
      </c>
      <c r="C32" s="140">
        <f t="shared" si="0"/>
        <v>1.8318712120620479</v>
      </c>
      <c r="E32" s="150">
        <v>41.169715797010497</v>
      </c>
      <c r="F32" s="140">
        <f t="shared" si="1"/>
        <v>1.4053078402198049</v>
      </c>
      <c r="H32" s="150">
        <f t="shared" si="3"/>
        <v>-10.44970378945127</v>
      </c>
      <c r="I32" s="140">
        <f t="shared" si="4"/>
        <v>-20.243745228378963</v>
      </c>
      <c r="K32" s="207">
        <f t="shared" si="2"/>
        <v>2.0468412987856635</v>
      </c>
      <c r="L32" s="140">
        <f t="shared" si="5"/>
        <v>3.9652543852362276</v>
      </c>
      <c r="N32" s="150">
        <f>H32-(K32+Q32)</f>
        <v>-13.450949571555629</v>
      </c>
      <c r="O32" s="140">
        <f t="shared" si="7"/>
        <v>-26.057924864934769</v>
      </c>
      <c r="Q32" s="150">
        <v>0.95440448331869587</v>
      </c>
      <c r="R32" s="140">
        <f t="shared" si="8"/>
        <v>1.8489252513195782</v>
      </c>
      <c r="T32" s="11"/>
    </row>
    <row r="33" spans="1:20" x14ac:dyDescent="0.2">
      <c r="A33" s="10" t="str">
        <f>name!$D29</f>
        <v>92 Elementary administration and service occupations</v>
      </c>
      <c r="B33" s="150">
        <v>267.90820636892653</v>
      </c>
      <c r="C33" s="140">
        <f t="shared" si="0"/>
        <v>9.5075329140494613</v>
      </c>
      <c r="E33" s="150">
        <v>255.12733961802351</v>
      </c>
      <c r="F33" s="140">
        <f t="shared" si="1"/>
        <v>8.7086452670062826</v>
      </c>
      <c r="H33" s="150">
        <f t="shared" ref="H33" si="9">E33-B33</f>
        <v>-12.780866750903016</v>
      </c>
      <c r="I33" s="140">
        <f>IF(B33&lt;&gt;0,((E33/B33)-1)*100,0)</f>
        <v>-4.7706141309098111</v>
      </c>
      <c r="K33" s="207">
        <f t="shared" si="2"/>
        <v>10.623241901451582</v>
      </c>
      <c r="L33" s="140">
        <f t="shared" ref="L33" si="10">IF(B33&lt;&gt;0,K33/B33*100,0)</f>
        <v>3.9652543852362276</v>
      </c>
      <c r="N33" s="150">
        <f>H33-(K33+Q33)</f>
        <v>-26.673924666838737</v>
      </c>
      <c r="O33" s="140">
        <f t="shared" ref="O33" si="11">IF(B33&lt;&gt;0,N33/B33*100,0)</f>
        <v>-9.9563671558858697</v>
      </c>
      <c r="Q33" s="150">
        <v>3.2698160144841397</v>
      </c>
      <c r="R33" s="140">
        <f t="shared" ref="R33" si="12">IF(B33&lt;&gt;0,Q33/B33*100,0)</f>
        <v>1.2204986397398354</v>
      </c>
      <c r="T33" s="11"/>
    </row>
    <row r="34" spans="1:20" x14ac:dyDescent="0.2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2">
      <c r="A35" s="148" t="str">
        <f>name!$D$3</f>
        <v>All occupations</v>
      </c>
      <c r="B35" s="151">
        <f>SUM(B8:B33)</f>
        <v>2817.8519999971127</v>
      </c>
      <c r="C35" s="146">
        <f>B35/B$35*100</f>
        <v>100</v>
      </c>
      <c r="D35" s="144"/>
      <c r="E35" s="151">
        <f>SUM(E8:E33)</f>
        <v>2929.5869999964648</v>
      </c>
      <c r="F35" s="146">
        <f t="shared" ref="F35" si="13">E35/E$35*100</f>
        <v>100</v>
      </c>
      <c r="G35" s="144"/>
      <c r="H35" s="151">
        <f>E35-B35</f>
        <v>111.73499999935211</v>
      </c>
      <c r="I35" s="146">
        <f t="shared" si="4"/>
        <v>3.9652543852362276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West</v>
      </c>
    </row>
    <row r="38" spans="1:20" ht="15.75" x14ac:dyDescent="0.25">
      <c r="A38" s="276"/>
    </row>
    <row r="39" spans="1:20" x14ac:dyDescent="0.2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7" t="str">
        <f>K3</f>
        <v>Components of change</v>
      </c>
      <c r="L39" s="377"/>
      <c r="M39" s="377"/>
      <c r="N39" s="377"/>
      <c r="O39" s="377"/>
      <c r="P39" s="377"/>
      <c r="Q39" s="377"/>
      <c r="R39" s="377"/>
    </row>
    <row r="40" spans="1:20" x14ac:dyDescent="0.2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6" t="str">
        <f>K4</f>
        <v>Scale effect</v>
      </c>
      <c r="L40" s="376"/>
      <c r="M40" s="135"/>
      <c r="N40" s="376" t="str">
        <f>N4</f>
        <v>Occupation effect</v>
      </c>
      <c r="O40" s="376"/>
      <c r="P40" s="135"/>
      <c r="Q40" s="376" t="str">
        <f>Q4</f>
        <v>Industry mix effect</v>
      </c>
      <c r="R40" s="376"/>
    </row>
    <row r="41" spans="1:20" x14ac:dyDescent="0.2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2">
      <c r="A44" s="134" t="str">
        <f t="shared" ref="A44:A69" si="14">A8</f>
        <v>11 Corporate managers and directors</v>
      </c>
      <c r="B44" s="150">
        <v>220.42416840586966</v>
      </c>
      <c r="C44" s="140">
        <f t="shared" ref="C44:C69" si="15">B44/B$71*100</f>
        <v>7.5240697206171268</v>
      </c>
      <c r="E44" s="150">
        <v>228.60191583847305</v>
      </c>
      <c r="F44" s="140">
        <f t="shared" ref="F44:F69" si="16">E44/E$71*100</f>
        <v>7.0554121699180916</v>
      </c>
      <c r="H44" s="150">
        <f>E44-B44</f>
        <v>8.1777474326033825</v>
      </c>
      <c r="I44" s="140">
        <f>IF(B44&gt;0,((E44/B44)-1)*100,0)</f>
        <v>3.7100048927237506</v>
      </c>
      <c r="K44" s="150">
        <f>(($E$71/$B$71)-1)*B44</f>
        <v>23.362687926761584</v>
      </c>
      <c r="L44" s="140">
        <f>IF(B44&gt;0,K44/B44*100,0)</f>
        <v>10.598968387052544</v>
      </c>
      <c r="N44" s="150">
        <f>H44-(K44+Q44)</f>
        <v>-8.0075996536236396</v>
      </c>
      <c r="O44" s="140">
        <f>IF(B44&gt;0,N44/B44*100,0)</f>
        <v>-3.6328138205240501</v>
      </c>
      <c r="Q44" s="150">
        <v>-7.177340840534562</v>
      </c>
      <c r="R44" s="140">
        <f>IF(B44&gt;0,Q44/B44*100,0)</f>
        <v>-3.2561496738047522</v>
      </c>
      <c r="T44" s="150"/>
    </row>
    <row r="45" spans="1:20" x14ac:dyDescent="0.2">
      <c r="A45" s="134" t="str">
        <f t="shared" si="14"/>
        <v>12 Other managers and proprietors</v>
      </c>
      <c r="B45" s="150">
        <v>116.24748966700469</v>
      </c>
      <c r="C45" s="140">
        <f t="shared" si="15"/>
        <v>3.9680504339739686</v>
      </c>
      <c r="E45" s="150">
        <v>165.54721327345115</v>
      </c>
      <c r="F45" s="140">
        <f t="shared" si="16"/>
        <v>5.1093352343154832</v>
      </c>
      <c r="H45" s="150">
        <f t="shared" ref="H45:H71" si="17">E45-B45</f>
        <v>49.299723606446463</v>
      </c>
      <c r="I45" s="140">
        <f t="shared" ref="I45:I71" si="18">IF(B45&gt;0,((E45/B45)-1)*100,0)</f>
        <v>42.409280189763557</v>
      </c>
      <c r="K45" s="150">
        <f t="shared" ref="K45:K68" si="19">(($E$71/$B$71)-1)*B45</f>
        <v>12.321034680547998</v>
      </c>
      <c r="L45" s="140">
        <f t="shared" ref="L45:L68" si="20">IF(B45&gt;0,K45/B45*100,0)</f>
        <v>10.598968387052544</v>
      </c>
      <c r="N45" s="150">
        <f t="shared" ref="N45:N68" si="21">H45-(K45+Q45)</f>
        <v>35.588878204813831</v>
      </c>
      <c r="O45" s="140">
        <f t="shared" ref="O45:O68" si="22">IF(B45&gt;0,N45/B45*100,0)</f>
        <v>30.614749881274438</v>
      </c>
      <c r="Q45" s="150">
        <v>1.389810721084634</v>
      </c>
      <c r="R45" s="140">
        <f>IF(B45&gt;0,Q45/B45*100,0)</f>
        <v>1.1955619214365827</v>
      </c>
      <c r="T45" s="150"/>
    </row>
    <row r="46" spans="1:20" x14ac:dyDescent="0.2">
      <c r="A46" s="134" t="str">
        <f t="shared" si="14"/>
        <v>21 Science, research, engineering and technology professionals</v>
      </c>
      <c r="B46" s="150">
        <v>174.78975240588667</v>
      </c>
      <c r="C46" s="140">
        <f t="shared" si="15"/>
        <v>5.9663615521948179</v>
      </c>
      <c r="E46" s="150">
        <v>209.54199786733972</v>
      </c>
      <c r="F46" s="140">
        <f t="shared" si="16"/>
        <v>6.4671599817509851</v>
      </c>
      <c r="H46" s="150">
        <f t="shared" si="17"/>
        <v>34.752245461453043</v>
      </c>
      <c r="I46" s="140">
        <f t="shared" si="18"/>
        <v>19.882312883396835</v>
      </c>
      <c r="K46" s="150">
        <f t="shared" si="19"/>
        <v>18.525910601307341</v>
      </c>
      <c r="L46" s="140">
        <f t="shared" si="20"/>
        <v>10.598968387052544</v>
      </c>
      <c r="N46" s="150">
        <f t="shared" si="21"/>
        <v>19.31467137631963</v>
      </c>
      <c r="O46" s="140">
        <f t="shared" si="22"/>
        <v>11.05023098348936</v>
      </c>
      <c r="Q46" s="150">
        <v>-3.0883365161739293</v>
      </c>
      <c r="R46" s="140">
        <f t="shared" ref="R46:R68" si="23">IF(B46&gt;0,Q46/B46*100,0)</f>
        <v>-1.7668864871450658</v>
      </c>
      <c r="T46" s="150"/>
    </row>
    <row r="47" spans="1:20" x14ac:dyDescent="0.2">
      <c r="A47" s="134" t="str">
        <f t="shared" si="14"/>
        <v>22 Health professionals</v>
      </c>
      <c r="B47" s="150">
        <v>136.06688372711437</v>
      </c>
      <c r="C47" s="140">
        <f t="shared" si="15"/>
        <v>4.6445756254133626</v>
      </c>
      <c r="E47" s="150">
        <v>175.96215290882705</v>
      </c>
      <c r="F47" s="140">
        <f t="shared" si="16"/>
        <v>5.430774761989059</v>
      </c>
      <c r="H47" s="150">
        <f t="shared" si="17"/>
        <v>39.895269181712678</v>
      </c>
      <c r="I47" s="140">
        <f t="shared" si="18"/>
        <v>29.320337240708525</v>
      </c>
      <c r="K47" s="150">
        <f t="shared" si="19"/>
        <v>14.421685991484393</v>
      </c>
      <c r="L47" s="140">
        <f t="shared" si="20"/>
        <v>10.598968387052544</v>
      </c>
      <c r="N47" s="150">
        <f t="shared" si="21"/>
        <v>14.102069251872905</v>
      </c>
      <c r="O47" s="140">
        <f t="shared" si="22"/>
        <v>10.364071598902028</v>
      </c>
      <c r="Q47" s="150">
        <v>11.371513938355379</v>
      </c>
      <c r="R47" s="140">
        <f t="shared" si="23"/>
        <v>8.3572972547539504</v>
      </c>
      <c r="T47" s="150"/>
    </row>
    <row r="48" spans="1:20" x14ac:dyDescent="0.2">
      <c r="A48" s="134" t="str">
        <f t="shared" si="14"/>
        <v>23 Teaching and other educational professionals</v>
      </c>
      <c r="B48" s="150">
        <v>147.16638535201332</v>
      </c>
      <c r="C48" s="140">
        <f t="shared" si="15"/>
        <v>5.0234516111721863</v>
      </c>
      <c r="E48" s="150">
        <v>172.55168775110647</v>
      </c>
      <c r="F48" s="140">
        <f t="shared" si="16"/>
        <v>5.3255165129905455</v>
      </c>
      <c r="H48" s="150">
        <f t="shared" si="17"/>
        <v>25.385302399093149</v>
      </c>
      <c r="I48" s="140">
        <f t="shared" si="18"/>
        <v>17.249389076434142</v>
      </c>
      <c r="K48" s="150">
        <f t="shared" si="19"/>
        <v>15.598118659827817</v>
      </c>
      <c r="L48" s="140">
        <f t="shared" si="20"/>
        <v>10.598968387052544</v>
      </c>
      <c r="N48" s="150">
        <f t="shared" si="21"/>
        <v>11.684049800459078</v>
      </c>
      <c r="O48" s="140">
        <f t="shared" si="22"/>
        <v>7.939346864103185</v>
      </c>
      <c r="Q48" s="150">
        <v>-1.8968660611937471</v>
      </c>
      <c r="R48" s="140">
        <f t="shared" si="23"/>
        <v>-1.2889261747215952</v>
      </c>
      <c r="T48" s="150"/>
    </row>
    <row r="49" spans="1:20" x14ac:dyDescent="0.2">
      <c r="A49" s="134" t="str">
        <f t="shared" si="14"/>
        <v>24 Business, media and public service professionals</v>
      </c>
      <c r="B49" s="150">
        <v>195.24119605405735</v>
      </c>
      <c r="C49" s="140">
        <f t="shared" si="15"/>
        <v>6.6644614430052069</v>
      </c>
      <c r="E49" s="150">
        <v>252.27951137953681</v>
      </c>
      <c r="F49" s="140">
        <f t="shared" si="16"/>
        <v>7.7861811799768628</v>
      </c>
      <c r="H49" s="150">
        <f t="shared" si="17"/>
        <v>57.038315325479459</v>
      </c>
      <c r="I49" s="140">
        <f t="shared" si="18"/>
        <v>29.214282886121534</v>
      </c>
      <c r="K49" s="150">
        <f t="shared" si="19"/>
        <v>20.693552648272817</v>
      </c>
      <c r="L49" s="140">
        <f t="shared" si="20"/>
        <v>10.598968387052544</v>
      </c>
      <c r="N49" s="150">
        <f t="shared" si="21"/>
        <v>37.900378424279381</v>
      </c>
      <c r="O49" s="140">
        <f t="shared" si="22"/>
        <v>19.412080641928522</v>
      </c>
      <c r="Q49" s="150">
        <v>-1.5556157470727388</v>
      </c>
      <c r="R49" s="140">
        <f t="shared" si="23"/>
        <v>-0.79676614285953662</v>
      </c>
      <c r="T49" s="150"/>
    </row>
    <row r="50" spans="1:20" x14ac:dyDescent="0.2">
      <c r="A50" s="134" t="str">
        <f t="shared" si="14"/>
        <v>31 Science, engineering and technology associate professionals</v>
      </c>
      <c r="B50" s="150">
        <v>57.22704281714396</v>
      </c>
      <c r="C50" s="140">
        <f t="shared" si="15"/>
        <v>1.9534167381686574</v>
      </c>
      <c r="E50" s="150">
        <v>54.695032844743452</v>
      </c>
      <c r="F50" s="140">
        <f t="shared" si="16"/>
        <v>1.6880698438220501</v>
      </c>
      <c r="H50" s="150">
        <f t="shared" si="17"/>
        <v>-2.532009972400509</v>
      </c>
      <c r="I50" s="140">
        <f t="shared" si="18"/>
        <v>-4.4244990615555206</v>
      </c>
      <c r="K50" s="150">
        <f t="shared" si="19"/>
        <v>6.0654761770341112</v>
      </c>
      <c r="L50" s="140">
        <f t="shared" si="20"/>
        <v>10.598968387052544</v>
      </c>
      <c r="N50" s="150">
        <f t="shared" si="21"/>
        <v>-7.1632524378694686</v>
      </c>
      <c r="O50" s="140">
        <f t="shared" si="22"/>
        <v>-12.517250735387494</v>
      </c>
      <c r="Q50" s="150">
        <v>-1.4342337115651518</v>
      </c>
      <c r="R50" s="140">
        <f t="shared" si="23"/>
        <v>-2.5062167132205668</v>
      </c>
      <c r="T50" s="150"/>
    </row>
    <row r="51" spans="1:20" x14ac:dyDescent="0.2">
      <c r="A51" s="134" t="str">
        <f t="shared" si="14"/>
        <v>32 Health and social care associate professionals</v>
      </c>
      <c r="B51" s="150">
        <v>58.891200721634888</v>
      </c>
      <c r="C51" s="140">
        <f t="shared" si="15"/>
        <v>2.0102219432877724</v>
      </c>
      <c r="E51" s="150">
        <v>70.358001501575828</v>
      </c>
      <c r="F51" s="140">
        <f t="shared" si="16"/>
        <v>2.1714809266781741</v>
      </c>
      <c r="H51" s="150">
        <f t="shared" si="17"/>
        <v>11.466800779940939</v>
      </c>
      <c r="I51" s="140">
        <f t="shared" si="18"/>
        <v>19.471161462884524</v>
      </c>
      <c r="K51" s="150">
        <f t="shared" si="19"/>
        <v>6.2418597472417412</v>
      </c>
      <c r="L51" s="140">
        <f t="shared" si="20"/>
        <v>10.598968387052544</v>
      </c>
      <c r="N51" s="150">
        <f t="shared" si="21"/>
        <v>0.59222718432740962</v>
      </c>
      <c r="O51" s="140">
        <f t="shared" si="22"/>
        <v>1.005629325044213</v>
      </c>
      <c r="Q51" s="150">
        <v>4.6327138483717887</v>
      </c>
      <c r="R51" s="140">
        <f t="shared" si="23"/>
        <v>7.8665637507877584</v>
      </c>
      <c r="T51" s="150"/>
    </row>
    <row r="52" spans="1:20" x14ac:dyDescent="0.2">
      <c r="A52" s="134" t="str">
        <f t="shared" si="14"/>
        <v>33 Protective service occupations</v>
      </c>
      <c r="B52" s="150">
        <v>21.197229754485431</v>
      </c>
      <c r="C52" s="140">
        <f t="shared" si="15"/>
        <v>0.72355692985089748</v>
      </c>
      <c r="E52" s="150">
        <v>29.961326346665203</v>
      </c>
      <c r="F52" s="140">
        <f t="shared" si="16"/>
        <v>0.92470575217101036</v>
      </c>
      <c r="H52" s="150">
        <f t="shared" si="17"/>
        <v>8.7640965921797722</v>
      </c>
      <c r="I52" s="140">
        <f t="shared" si="18"/>
        <v>41.345480959960113</v>
      </c>
      <c r="K52" s="150">
        <f t="shared" si="19"/>
        <v>2.2466876806088063</v>
      </c>
      <c r="L52" s="140">
        <f t="shared" si="20"/>
        <v>10.598968387052544</v>
      </c>
      <c r="N52" s="150">
        <f t="shared" si="21"/>
        <v>6.7986076606617711</v>
      </c>
      <c r="O52" s="140">
        <f t="shared" si="22"/>
        <v>32.073095113870501</v>
      </c>
      <c r="Q52" s="150">
        <v>-0.28119874909080506</v>
      </c>
      <c r="R52" s="140">
        <f t="shared" si="23"/>
        <v>-1.3265825409629393</v>
      </c>
      <c r="T52" s="150"/>
    </row>
    <row r="53" spans="1:20" x14ac:dyDescent="0.2">
      <c r="A53" s="134" t="str">
        <f t="shared" si="14"/>
        <v>34 Culture, media and sports occupations</v>
      </c>
      <c r="B53" s="150">
        <v>62.187444415764752</v>
      </c>
      <c r="C53" s="140">
        <f t="shared" si="15"/>
        <v>2.1227375877842096</v>
      </c>
      <c r="E53" s="150">
        <v>75.861044003421796</v>
      </c>
      <c r="F53" s="140">
        <f t="shared" si="16"/>
        <v>2.3413230423782658</v>
      </c>
      <c r="H53" s="150">
        <f t="shared" si="17"/>
        <v>13.673599587657044</v>
      </c>
      <c r="I53" s="140">
        <f t="shared" si="18"/>
        <v>21.987717482390611</v>
      </c>
      <c r="K53" s="150">
        <f t="shared" si="19"/>
        <v>6.5912275743427777</v>
      </c>
      <c r="L53" s="140">
        <f t="shared" si="20"/>
        <v>10.598968387052544</v>
      </c>
      <c r="N53" s="150">
        <f t="shared" si="21"/>
        <v>2.944540753252701</v>
      </c>
      <c r="O53" s="140">
        <f t="shared" si="22"/>
        <v>4.7349441369008067</v>
      </c>
      <c r="Q53" s="150">
        <v>4.1378312600615654</v>
      </c>
      <c r="R53" s="140">
        <f t="shared" si="23"/>
        <v>6.6538049584372523</v>
      </c>
      <c r="T53" s="150"/>
    </row>
    <row r="54" spans="1:20" x14ac:dyDescent="0.2">
      <c r="A54" s="134" t="str">
        <f t="shared" si="14"/>
        <v>35 Business and public service associate professionals</v>
      </c>
      <c r="B54" s="150">
        <v>176.2464226534758</v>
      </c>
      <c r="C54" s="140">
        <f t="shared" si="15"/>
        <v>6.0160842690006637</v>
      </c>
      <c r="E54" s="150">
        <v>180.73388845504215</v>
      </c>
      <c r="F54" s="140">
        <f t="shared" si="16"/>
        <v>5.5780463232133544</v>
      </c>
      <c r="H54" s="150">
        <f t="shared" si="17"/>
        <v>4.4874658015663442</v>
      </c>
      <c r="I54" s="140">
        <f t="shared" si="18"/>
        <v>2.5461315662498984</v>
      </c>
      <c r="K54" s="150">
        <f t="shared" si="19"/>
        <v>18.680302620352911</v>
      </c>
      <c r="L54" s="140">
        <f t="shared" si="20"/>
        <v>10.598968387052544</v>
      </c>
      <c r="N54" s="150">
        <f t="shared" si="21"/>
        <v>-8.3425383313298305</v>
      </c>
      <c r="O54" s="140">
        <f t="shared" si="22"/>
        <v>-4.7334511564710642</v>
      </c>
      <c r="Q54" s="150">
        <v>-5.8502984874567376</v>
      </c>
      <c r="R54" s="140">
        <f t="shared" si="23"/>
        <v>-3.3193856643315889</v>
      </c>
      <c r="T54" s="150"/>
    </row>
    <row r="55" spans="1:20" x14ac:dyDescent="0.2">
      <c r="A55" s="134" t="str">
        <f t="shared" si="14"/>
        <v>41 Administrative occupations</v>
      </c>
      <c r="B55" s="150">
        <v>240.29715716047514</v>
      </c>
      <c r="C55" s="140">
        <f t="shared" si="15"/>
        <v>8.2024243403853543</v>
      </c>
      <c r="E55" s="150">
        <v>210.08774549657949</v>
      </c>
      <c r="F55" s="140">
        <f t="shared" si="16"/>
        <v>6.4840035609087492</v>
      </c>
      <c r="H55" s="150">
        <f t="shared" si="17"/>
        <v>-30.209411663895651</v>
      </c>
      <c r="I55" s="140">
        <f t="shared" si="18"/>
        <v>-12.571689162232246</v>
      </c>
      <c r="K55" s="150">
        <f t="shared" si="19"/>
        <v>25.469019722424726</v>
      </c>
      <c r="L55" s="140">
        <f t="shared" si="20"/>
        <v>10.598968387052544</v>
      </c>
      <c r="N55" s="150">
        <f t="shared" si="21"/>
        <v>-50.019891268423521</v>
      </c>
      <c r="O55" s="140">
        <f t="shared" si="22"/>
        <v>-20.815848118843643</v>
      </c>
      <c r="Q55" s="150">
        <v>-5.6585401178968544</v>
      </c>
      <c r="R55" s="140">
        <f t="shared" si="23"/>
        <v>-2.3548094304411475</v>
      </c>
      <c r="T55" s="150"/>
    </row>
    <row r="56" spans="1:20" x14ac:dyDescent="0.2">
      <c r="A56" s="134" t="str">
        <f t="shared" si="14"/>
        <v>42 Secretarial and related occupations</v>
      </c>
      <c r="B56" s="150">
        <v>54.043742760928943</v>
      </c>
      <c r="C56" s="140">
        <f t="shared" si="15"/>
        <v>1.8447563687644082</v>
      </c>
      <c r="E56" s="150">
        <v>51.542087035107386</v>
      </c>
      <c r="F56" s="140">
        <f t="shared" si="16"/>
        <v>1.590759494716679</v>
      </c>
      <c r="H56" s="150">
        <f t="shared" si="17"/>
        <v>-2.501655725821557</v>
      </c>
      <c r="I56" s="140">
        <f t="shared" si="18"/>
        <v>-4.6289461055427417</v>
      </c>
      <c r="K56" s="150">
        <f t="shared" si="19"/>
        <v>5.728079210410856</v>
      </c>
      <c r="L56" s="140">
        <f t="shared" si="20"/>
        <v>10.598968387052544</v>
      </c>
      <c r="N56" s="150">
        <f t="shared" si="21"/>
        <v>-9.3133388858411763</v>
      </c>
      <c r="O56" s="140">
        <f t="shared" si="22"/>
        <v>-17.232964280509229</v>
      </c>
      <c r="Q56" s="150">
        <v>1.0836039496087626</v>
      </c>
      <c r="R56" s="140">
        <f t="shared" si="23"/>
        <v>2.0050497879139426</v>
      </c>
      <c r="T56" s="150"/>
    </row>
    <row r="57" spans="1:20" x14ac:dyDescent="0.2">
      <c r="A57" s="134" t="str">
        <f t="shared" si="14"/>
        <v>51 Skilled agricultural and related trades</v>
      </c>
      <c r="B57" s="150">
        <v>43.38976416600206</v>
      </c>
      <c r="C57" s="140">
        <f t="shared" si="15"/>
        <v>1.4810880907805235</v>
      </c>
      <c r="E57" s="150">
        <v>47.518729761157019</v>
      </c>
      <c r="F57" s="140">
        <f t="shared" si="16"/>
        <v>1.4665853653335492</v>
      </c>
      <c r="H57" s="150">
        <f t="shared" si="17"/>
        <v>4.1289655951549591</v>
      </c>
      <c r="I57" s="140">
        <f t="shared" si="18"/>
        <v>9.5159899449054777</v>
      </c>
      <c r="K57" s="150">
        <f t="shared" si="19"/>
        <v>4.5988673871712109</v>
      </c>
      <c r="L57" s="140">
        <f t="shared" si="20"/>
        <v>10.598968387052544</v>
      </c>
      <c r="N57" s="150">
        <f t="shared" si="21"/>
        <v>0.11378416150197967</v>
      </c>
      <c r="O57" s="140">
        <f t="shared" si="22"/>
        <v>0.26223733566898472</v>
      </c>
      <c r="Q57" s="150">
        <v>-0.58368595351823149</v>
      </c>
      <c r="R57" s="140">
        <f t="shared" si="23"/>
        <v>-1.3452157778160434</v>
      </c>
      <c r="T57" s="150"/>
    </row>
    <row r="58" spans="1:20" x14ac:dyDescent="0.2">
      <c r="A58" s="134" t="str">
        <f t="shared" si="14"/>
        <v>52 Skilled metal, electrical and electronic trades</v>
      </c>
      <c r="B58" s="150">
        <v>105.38577813988417</v>
      </c>
      <c r="C58" s="140">
        <f t="shared" si="15"/>
        <v>3.5972912953263152</v>
      </c>
      <c r="E58" s="150">
        <v>101.33738383927199</v>
      </c>
      <c r="F58" s="140">
        <f t="shared" si="16"/>
        <v>3.1276072581668717</v>
      </c>
      <c r="H58" s="150">
        <f t="shared" si="17"/>
        <v>-4.0483943006121734</v>
      </c>
      <c r="I58" s="140">
        <f t="shared" si="18"/>
        <v>-3.8414996521053513</v>
      </c>
      <c r="K58" s="150">
        <f t="shared" si="19"/>
        <v>11.169805309495652</v>
      </c>
      <c r="L58" s="140">
        <f t="shared" si="20"/>
        <v>10.598968387052544</v>
      </c>
      <c r="N58" s="150">
        <f t="shared" si="21"/>
        <v>-9.0885632551755009</v>
      </c>
      <c r="O58" s="140">
        <f t="shared" si="22"/>
        <v>-8.6240889573465651</v>
      </c>
      <c r="Q58" s="150">
        <v>-6.1296363549323249</v>
      </c>
      <c r="R58" s="140">
        <f t="shared" si="23"/>
        <v>-5.816379081811335</v>
      </c>
      <c r="T58" s="150"/>
    </row>
    <row r="59" spans="1:20" x14ac:dyDescent="0.2">
      <c r="A59" s="134" t="str">
        <f t="shared" si="14"/>
        <v>53 Skilled construction and building trades</v>
      </c>
      <c r="B59" s="150">
        <v>93.794072482198729</v>
      </c>
      <c r="C59" s="140">
        <f t="shared" si="15"/>
        <v>3.2016141689020299</v>
      </c>
      <c r="E59" s="150">
        <v>103.36815417917676</v>
      </c>
      <c r="F59" s="140">
        <f t="shared" si="16"/>
        <v>3.1902835560356815</v>
      </c>
      <c r="H59" s="150">
        <f t="shared" si="17"/>
        <v>9.5740816969780269</v>
      </c>
      <c r="I59" s="140">
        <f t="shared" si="18"/>
        <v>10.207555172311245</v>
      </c>
      <c r="K59" s="150">
        <f t="shared" si="19"/>
        <v>9.9412040913173918</v>
      </c>
      <c r="L59" s="140">
        <f t="shared" si="20"/>
        <v>10.598968387052544</v>
      </c>
      <c r="N59" s="150">
        <f t="shared" si="21"/>
        <v>-4.5921891365662653</v>
      </c>
      <c r="O59" s="140">
        <f t="shared" si="22"/>
        <v>-4.8960334219817794</v>
      </c>
      <c r="Q59" s="150">
        <v>4.2250667422269004</v>
      </c>
      <c r="R59" s="140">
        <f t="shared" si="23"/>
        <v>4.5046202072404737</v>
      </c>
      <c r="T59" s="150"/>
    </row>
    <row r="60" spans="1:20" x14ac:dyDescent="0.2">
      <c r="A60" s="134" t="str">
        <f t="shared" si="14"/>
        <v>54 Textiles, printing and other skilled trades</v>
      </c>
      <c r="B60" s="150">
        <v>55.443570145470069</v>
      </c>
      <c r="C60" s="140">
        <f t="shared" si="15"/>
        <v>1.8925387826180609</v>
      </c>
      <c r="E60" s="150">
        <v>54.266577337981488</v>
      </c>
      <c r="F60" s="140">
        <f t="shared" si="16"/>
        <v>1.67484628799318</v>
      </c>
      <c r="H60" s="150">
        <f t="shared" si="17"/>
        <v>-1.1769928074885811</v>
      </c>
      <c r="I60" s="140">
        <f t="shared" si="18"/>
        <v>-2.1228661942231497</v>
      </c>
      <c r="K60" s="150">
        <f t="shared" si="19"/>
        <v>5.8764464723716747</v>
      </c>
      <c r="L60" s="140">
        <f t="shared" si="20"/>
        <v>10.598968387052544</v>
      </c>
      <c r="N60" s="150">
        <f t="shared" si="21"/>
        <v>-6.9973619333696506</v>
      </c>
      <c r="O60" s="140">
        <f t="shared" si="22"/>
        <v>-12.620691479661794</v>
      </c>
      <c r="Q60" s="150">
        <v>-5.6077346490605445E-2</v>
      </c>
      <c r="R60" s="140">
        <f t="shared" si="23"/>
        <v>-0.1011431016138977</v>
      </c>
      <c r="T60" s="150"/>
    </row>
    <row r="61" spans="1:20" x14ac:dyDescent="0.2">
      <c r="A61" s="134" t="str">
        <f t="shared" si="14"/>
        <v>61 Caring personal service occupations</v>
      </c>
      <c r="B61" s="150">
        <v>213.74995100728043</v>
      </c>
      <c r="C61" s="140">
        <f t="shared" si="15"/>
        <v>7.2962486182365769</v>
      </c>
      <c r="E61" s="150">
        <v>261.37055548425388</v>
      </c>
      <c r="F61" s="140">
        <f t="shared" si="16"/>
        <v>8.0667609073095257</v>
      </c>
      <c r="H61" s="150">
        <f t="shared" si="17"/>
        <v>47.620604476973455</v>
      </c>
      <c r="I61" s="140">
        <f t="shared" si="18"/>
        <v>22.278650475738115</v>
      </c>
      <c r="K61" s="150">
        <f t="shared" si="19"/>
        <v>22.655289734601951</v>
      </c>
      <c r="L61" s="140">
        <f t="shared" si="20"/>
        <v>10.598968387052544</v>
      </c>
      <c r="N61" s="150">
        <f t="shared" si="21"/>
        <v>9.5577461423352617</v>
      </c>
      <c r="O61" s="140">
        <f t="shared" si="22"/>
        <v>4.4714612084330811</v>
      </c>
      <c r="Q61" s="150">
        <v>15.407568600036241</v>
      </c>
      <c r="R61" s="140">
        <f t="shared" si="23"/>
        <v>7.2082208802524832</v>
      </c>
      <c r="T61" s="150"/>
    </row>
    <row r="62" spans="1:20" x14ac:dyDescent="0.2">
      <c r="A62" s="134" t="str">
        <f t="shared" si="14"/>
        <v>62 Leisure, travel and related personal service occupations</v>
      </c>
      <c r="B62" s="150">
        <v>60.737895765777509</v>
      </c>
      <c r="C62" s="140">
        <f t="shared" si="15"/>
        <v>2.0732579631822099</v>
      </c>
      <c r="E62" s="150">
        <v>72.595305939625703</v>
      </c>
      <c r="F62" s="140">
        <f t="shared" si="16"/>
        <v>2.2405315507822277</v>
      </c>
      <c r="H62" s="150">
        <f t="shared" si="17"/>
        <v>11.857410173848194</v>
      </c>
      <c r="I62" s="140">
        <f t="shared" si="18"/>
        <v>19.522260401601208</v>
      </c>
      <c r="K62" s="150">
        <f t="shared" si="19"/>
        <v>6.4375903711756832</v>
      </c>
      <c r="L62" s="140">
        <f t="shared" si="20"/>
        <v>10.598968387052544</v>
      </c>
      <c r="N62" s="150">
        <f t="shared" si="21"/>
        <v>3.7001155875023848</v>
      </c>
      <c r="O62" s="140">
        <f t="shared" si="22"/>
        <v>6.0919390453878686</v>
      </c>
      <c r="Q62" s="150">
        <v>1.7197042151701265</v>
      </c>
      <c r="R62" s="140">
        <f t="shared" si="23"/>
        <v>2.8313529691607888</v>
      </c>
      <c r="T62" s="150"/>
    </row>
    <row r="63" spans="1:20" x14ac:dyDescent="0.2">
      <c r="A63" s="134" t="str">
        <f t="shared" si="14"/>
        <v>63 Community and civil enforcement occupations</v>
      </c>
      <c r="B63" s="150">
        <v>2.5974855797046024</v>
      </c>
      <c r="C63" s="140">
        <f t="shared" si="15"/>
        <v>8.8663882646521058E-2</v>
      </c>
      <c r="E63" s="150">
        <v>2.1017933821101242</v>
      </c>
      <c r="F63" s="140">
        <f t="shared" si="16"/>
        <v>6.4868304153982051E-2</v>
      </c>
      <c r="H63" s="150">
        <f t="shared" si="17"/>
        <v>-0.49569219759447813</v>
      </c>
      <c r="I63" s="140">
        <f t="shared" si="18"/>
        <v>-19.083539922899227</v>
      </c>
      <c r="K63" s="150">
        <f t="shared" si="19"/>
        <v>0.27530667545113929</v>
      </c>
      <c r="L63" s="140">
        <f t="shared" si="20"/>
        <v>10.598968387052544</v>
      </c>
      <c r="N63" s="150">
        <f t="shared" si="21"/>
        <v>-0.83010586438802059</v>
      </c>
      <c r="O63" s="140">
        <f t="shared" si="22"/>
        <v>-31.958054777051885</v>
      </c>
      <c r="Q63" s="150">
        <v>5.9106991342403117E-2</v>
      </c>
      <c r="R63" s="140">
        <f t="shared" si="23"/>
        <v>2.2755464671001189</v>
      </c>
      <c r="T63" s="150"/>
    </row>
    <row r="64" spans="1:20" x14ac:dyDescent="0.2">
      <c r="A64" s="134" t="str">
        <f t="shared" si="14"/>
        <v>71 Sales occupations</v>
      </c>
      <c r="B64" s="150">
        <v>205.71646638462903</v>
      </c>
      <c r="C64" s="140">
        <f t="shared" si="15"/>
        <v>7.0220296029739782</v>
      </c>
      <c r="E64" s="150">
        <v>183.50111866544393</v>
      </c>
      <c r="F64" s="140">
        <f t="shared" si="16"/>
        <v>5.6634522115753265</v>
      </c>
      <c r="H64" s="150">
        <f t="shared" si="17"/>
        <v>-22.215347719185104</v>
      </c>
      <c r="I64" s="140">
        <f t="shared" si="18"/>
        <v>-10.799012888763592</v>
      </c>
      <c r="K64" s="150">
        <f t="shared" si="19"/>
        <v>21.803823239068404</v>
      </c>
      <c r="L64" s="140">
        <f t="shared" si="20"/>
        <v>10.598968387052544</v>
      </c>
      <c r="N64" s="150">
        <f t="shared" si="21"/>
        <v>-32.879805619737439</v>
      </c>
      <c r="O64" s="140">
        <f t="shared" si="22"/>
        <v>-15.983069414706899</v>
      </c>
      <c r="Q64" s="150">
        <v>-11.139365338516068</v>
      </c>
      <c r="R64" s="140">
        <f t="shared" si="23"/>
        <v>-5.4149118611092346</v>
      </c>
      <c r="T64" s="150"/>
    </row>
    <row r="65" spans="1:20" x14ac:dyDescent="0.2">
      <c r="A65" s="134" t="str">
        <f t="shared" si="14"/>
        <v>72 Customer service occupations</v>
      </c>
      <c r="B65" s="150">
        <v>47.713083005611892</v>
      </c>
      <c r="C65" s="140">
        <f t="shared" si="15"/>
        <v>1.6286624362297304</v>
      </c>
      <c r="E65" s="150">
        <v>70.946426583313226</v>
      </c>
      <c r="F65" s="140">
        <f t="shared" si="16"/>
        <v>2.1896416733523556</v>
      </c>
      <c r="H65" s="150">
        <f t="shared" si="17"/>
        <v>23.233343577701334</v>
      </c>
      <c r="I65" s="140">
        <f t="shared" si="18"/>
        <v>48.693863641066095</v>
      </c>
      <c r="K65" s="150">
        <f t="shared" si="19"/>
        <v>5.057094584252944</v>
      </c>
      <c r="L65" s="140">
        <f t="shared" si="20"/>
        <v>10.598968387052544</v>
      </c>
      <c r="N65" s="150">
        <f t="shared" si="21"/>
        <v>19.458163394706521</v>
      </c>
      <c r="O65" s="140">
        <f t="shared" si="22"/>
        <v>40.781609925348775</v>
      </c>
      <c r="Q65" s="150">
        <v>-1.2819144012581318</v>
      </c>
      <c r="R65" s="140">
        <f t="shared" si="23"/>
        <v>-2.6867146713352317</v>
      </c>
      <c r="T65" s="150"/>
    </row>
    <row r="66" spans="1:20" x14ac:dyDescent="0.2">
      <c r="A66" s="134" t="str">
        <f t="shared" si="14"/>
        <v>81 Process, plant and machine operatives</v>
      </c>
      <c r="B66" s="150">
        <v>62.582118755619781</v>
      </c>
      <c r="C66" s="140">
        <f t="shared" si="15"/>
        <v>2.1362096007285429</v>
      </c>
      <c r="E66" s="150">
        <v>75.3654050728952</v>
      </c>
      <c r="F66" s="140">
        <f t="shared" si="16"/>
        <v>2.3260259836047363</v>
      </c>
      <c r="H66" s="150">
        <f t="shared" si="17"/>
        <v>12.783286317275419</v>
      </c>
      <c r="I66" s="140">
        <f t="shared" si="18"/>
        <v>20.426419832785705</v>
      </c>
      <c r="K66" s="150">
        <f t="shared" si="19"/>
        <v>6.6330589828558209</v>
      </c>
      <c r="L66" s="140">
        <f t="shared" si="20"/>
        <v>10.598968387052544</v>
      </c>
      <c r="N66" s="150">
        <f t="shared" si="21"/>
        <v>11.582306062090137</v>
      </c>
      <c r="O66" s="140">
        <f t="shared" si="22"/>
        <v>18.507372860478718</v>
      </c>
      <c r="Q66" s="150">
        <v>-5.4320787276705378</v>
      </c>
      <c r="R66" s="140">
        <f t="shared" si="23"/>
        <v>-8.6799214147455572</v>
      </c>
      <c r="T66" s="150"/>
    </row>
    <row r="67" spans="1:20" x14ac:dyDescent="0.2">
      <c r="A67" s="134" t="str">
        <f t="shared" si="14"/>
        <v>82 Transport and mobile machine drivers and operatives</v>
      </c>
      <c r="B67" s="150">
        <v>82.153643253397007</v>
      </c>
      <c r="C67" s="140">
        <f t="shared" si="15"/>
        <v>2.8042738875307731</v>
      </c>
      <c r="E67" s="150">
        <v>90.140369989187306</v>
      </c>
      <c r="F67" s="140">
        <f t="shared" si="16"/>
        <v>2.7820303302794911</v>
      </c>
      <c r="H67" s="150">
        <f t="shared" si="17"/>
        <v>7.9867267357902989</v>
      </c>
      <c r="I67" s="140">
        <f t="shared" si="18"/>
        <v>9.7216951306174249</v>
      </c>
      <c r="K67" s="150">
        <f t="shared" si="19"/>
        <v>8.7074386772394732</v>
      </c>
      <c r="L67" s="140">
        <f t="shared" si="20"/>
        <v>10.598968387052544</v>
      </c>
      <c r="N67" s="150">
        <f t="shared" si="21"/>
        <v>3.3419815147176459</v>
      </c>
      <c r="O67" s="140">
        <f t="shared" si="22"/>
        <v>4.0679650741836788</v>
      </c>
      <c r="Q67" s="150">
        <v>-4.0626934561668202</v>
      </c>
      <c r="R67" s="140">
        <f t="shared" si="23"/>
        <v>-4.9452383306188068</v>
      </c>
      <c r="T67" s="150"/>
    </row>
    <row r="68" spans="1:20" x14ac:dyDescent="0.2">
      <c r="A68" s="134" t="str">
        <f t="shared" si="14"/>
        <v>91 Elementary trades and related occupations</v>
      </c>
      <c r="B68" s="150">
        <v>41.169715797010497</v>
      </c>
      <c r="C68" s="140">
        <f t="shared" si="15"/>
        <v>1.4053078402198049</v>
      </c>
      <c r="E68" s="150">
        <v>36.262160530619973</v>
      </c>
      <c r="F68" s="140">
        <f t="shared" si="16"/>
        <v>1.1191703611794568</v>
      </c>
      <c r="H68" s="150">
        <f t="shared" si="17"/>
        <v>-4.9075552663905242</v>
      </c>
      <c r="I68" s="140">
        <f t="shared" si="18"/>
        <v>-11.920303969518498</v>
      </c>
      <c r="K68" s="150">
        <f t="shared" si="19"/>
        <v>4.3635651623645195</v>
      </c>
      <c r="L68" s="140">
        <f t="shared" si="20"/>
        <v>10.598968387052544</v>
      </c>
      <c r="N68" s="150">
        <f t="shared" si="21"/>
        <v>-7.9664667587907001</v>
      </c>
      <c r="O68" s="140">
        <f t="shared" si="22"/>
        <v>-19.350307876959349</v>
      </c>
      <c r="Q68" s="150">
        <v>-1.3046536699643441</v>
      </c>
      <c r="R68" s="140">
        <f t="shared" si="23"/>
        <v>-3.1689644796116871</v>
      </c>
      <c r="T68" s="150"/>
    </row>
    <row r="69" spans="1:20" x14ac:dyDescent="0.2">
      <c r="A69" s="134" t="str">
        <f t="shared" si="14"/>
        <v>92 Elementary administration and service occupations</v>
      </c>
      <c r="B69" s="150">
        <v>255.12733961802351</v>
      </c>
      <c r="C69" s="140">
        <f t="shared" si="15"/>
        <v>8.7086452670062826</v>
      </c>
      <c r="E69" s="150">
        <v>263.59541453038582</v>
      </c>
      <c r="F69" s="140">
        <f t="shared" si="16"/>
        <v>8.1354274254043393</v>
      </c>
      <c r="H69" s="150">
        <f t="shared" ref="H69" si="24">E69-B69</f>
        <v>8.4680749123623116</v>
      </c>
      <c r="I69" s="140">
        <f t="shared" ref="I69" si="25">IF(B69&gt;0,((E69/B69)-1)*100,0)</f>
        <v>3.3191562006019026</v>
      </c>
      <c r="K69" s="150">
        <f t="shared" ref="K69" si="26">(($E$71/$B$71)-1)*B69</f>
        <v>27.040866072842491</v>
      </c>
      <c r="L69" s="140">
        <f t="shared" ref="L69" si="27">IF(B69&gt;0,K69/B69*100,0)</f>
        <v>10.598968387052544</v>
      </c>
      <c r="N69" s="150">
        <f t="shared" ref="N69" si="28">H69-(K69+Q69)</f>
        <v>-31.478406373741414</v>
      </c>
      <c r="O69" s="140">
        <f t="shared" ref="O69" si="29">IF(B69&gt;0,N69/B69*100,0)</f>
        <v>-12.338311692063604</v>
      </c>
      <c r="Q69" s="150">
        <v>12.905615213261234</v>
      </c>
      <c r="R69" s="140">
        <f t="shared" ref="R69" si="30">IF(B69&gt;0,Q69/B69*100,0)</f>
        <v>5.058499505612966</v>
      </c>
      <c r="T69" s="150"/>
    </row>
    <row r="70" spans="1:20" x14ac:dyDescent="0.2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2">
      <c r="A71" s="148" t="str">
        <f>name!$D$3</f>
        <v>All occupations</v>
      </c>
      <c r="B71" s="151">
        <f>SUM(B44:B69)</f>
        <v>2929.5869999964648</v>
      </c>
      <c r="C71" s="146">
        <f>B71/B$71*100</f>
        <v>100</v>
      </c>
      <c r="D71" s="144"/>
      <c r="E71" s="151">
        <f>SUM(E44:E69)</f>
        <v>3240.0929999972909</v>
      </c>
      <c r="F71" s="146">
        <f>E71/E$71*100</f>
        <v>100</v>
      </c>
      <c r="G71" s="144"/>
      <c r="H71" s="151">
        <f t="shared" si="17"/>
        <v>310.50600000082613</v>
      </c>
      <c r="I71" s="146">
        <f t="shared" si="18"/>
        <v>10.598968387052544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2">
      <c r="T78" s="150"/>
    </row>
    <row r="79" spans="1:20" x14ac:dyDescent="0.2">
      <c r="T79" s="150"/>
    </row>
    <row r="80" spans="1:20" x14ac:dyDescent="0.2">
      <c r="T80" s="150"/>
    </row>
    <row r="81" spans="20:20" x14ac:dyDescent="0.2">
      <c r="T81" s="150"/>
    </row>
    <row r="82" spans="20:20" x14ac:dyDescent="0.2">
      <c r="T82" s="150"/>
    </row>
    <row r="83" spans="20:20" x14ac:dyDescent="0.2">
      <c r="T83" s="150"/>
    </row>
    <row r="84" spans="20:20" x14ac:dyDescent="0.2">
      <c r="T84" s="150"/>
    </row>
    <row r="85" spans="20:20" x14ac:dyDescent="0.2">
      <c r="T85" s="150"/>
    </row>
    <row r="86" spans="20:20" x14ac:dyDescent="0.2">
      <c r="T86" s="150"/>
    </row>
    <row r="87" spans="20:20" x14ac:dyDescent="0.2">
      <c r="T87" s="150"/>
    </row>
    <row r="88" spans="20:20" x14ac:dyDescent="0.2">
      <c r="T88" s="150"/>
    </row>
    <row r="89" spans="20:20" x14ac:dyDescent="0.2">
      <c r="T89" s="150"/>
    </row>
    <row r="90" spans="20:20" x14ac:dyDescent="0.2">
      <c r="T90" s="150"/>
    </row>
    <row r="91" spans="20:20" x14ac:dyDescent="0.2">
      <c r="T91" s="150"/>
    </row>
    <row r="92" spans="20:20" x14ac:dyDescent="0.2">
      <c r="T92" s="150"/>
    </row>
    <row r="93" spans="20:20" x14ac:dyDescent="0.2">
      <c r="T93" s="150"/>
    </row>
    <row r="94" spans="20:20" x14ac:dyDescent="0.2">
      <c r="T94" s="150"/>
    </row>
    <row r="95" spans="20:20" x14ac:dyDescent="0.2">
      <c r="T95" s="150"/>
    </row>
    <row r="96" spans="20:20" x14ac:dyDescent="0.2">
      <c r="T96" s="150"/>
    </row>
    <row r="97" spans="20:20" x14ac:dyDescent="0.2">
      <c r="T97" s="150"/>
    </row>
    <row r="98" spans="20:20" x14ac:dyDescent="0.2">
      <c r="T98" s="150"/>
    </row>
    <row r="99" spans="20:20" x14ac:dyDescent="0.2">
      <c r="T99" s="150"/>
    </row>
    <row r="100" spans="20:20" x14ac:dyDescent="0.2">
      <c r="T100" s="150"/>
    </row>
    <row r="101" spans="20:20" x14ac:dyDescent="0.2">
      <c r="T101" s="150"/>
    </row>
    <row r="102" spans="20:20" x14ac:dyDescent="0.2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7109375" customWidth="1"/>
    <col min="9" max="9" width="47" customWidth="1"/>
    <col min="10" max="14" width="11.7109375" customWidth="1"/>
    <col min="15" max="15" width="7.7109375" customWidth="1"/>
    <col min="16" max="16" width="53.5703125" customWidth="1"/>
    <col min="17" max="21" width="11.7109375" customWidth="1"/>
    <col min="22" max="22" width="11.85546875" customWidth="1"/>
    <col min="23" max="23" width="5.42578125" customWidth="1"/>
    <col min="24" max="24" width="32.28515625" customWidth="1"/>
    <col min="25" max="29" width="11.7109375" customWidth="1"/>
    <col min="30" max="30" width="11.85546875" customWidth="1"/>
  </cols>
  <sheetData>
    <row r="1" spans="1:30" ht="21" customHeight="1" x14ac:dyDescent="0.2">
      <c r="A1" s="378" t="str">
        <f>CONCATENATE("Replacement Demand Table 1  Replacement Demand by Occupation and Qualification, ",$B$6,"-",$C$6,", ",Info!B5)</f>
        <v>Replacement Demand Table 1  Replacement Demand by Occupation and Qualification, 2020-2035, South West</v>
      </c>
      <c r="B1" s="378"/>
      <c r="C1" s="378"/>
      <c r="D1" s="378"/>
      <c r="E1" s="378"/>
      <c r="F1" s="378"/>
      <c r="G1" s="378"/>
      <c r="I1" s="378" t="str">
        <f>CONCATENATE("Replacement Demand Table 1.1  Replacement Demand by Occupation Group and Qualification, ",$B$6,"-",$C$6,", ",Info!B5)</f>
        <v>Replacement Demand Table 1.1  Replacement Demand by Occupation Group and Qualification, 2020-2035, South West</v>
      </c>
      <c r="J1" s="378"/>
      <c r="K1" s="378"/>
      <c r="L1" s="378"/>
      <c r="M1" s="378"/>
      <c r="N1" s="378"/>
      <c r="P1" s="378" t="str">
        <f>CONCATENATE("Replacement Demand Table 1.2  Replacement Demand by Occupation and Gender, ",$B$6,"-",$C$6,", ",Info!B5)</f>
        <v>Replacement Demand Table 1.2  Replacement Demand by Occupation and Gender, 2020-2035, South West</v>
      </c>
      <c r="Q1" s="378"/>
      <c r="R1" s="378"/>
      <c r="S1" s="378"/>
      <c r="T1" s="378"/>
      <c r="U1" s="378"/>
      <c r="V1" s="378"/>
      <c r="W1" s="89"/>
      <c r="X1" s="378" t="str">
        <f>CONCATENATE("Replacement Demand Table 1.3  Replacement Demand by Industry, ",$B$6,"-",$C$6,", ",Info!B5)</f>
        <v>Replacement Demand Table 1.3  Replacement Demand by Industry, 2020-2035, South West</v>
      </c>
      <c r="Y1" s="378"/>
      <c r="Z1" s="378"/>
      <c r="AA1" s="378"/>
      <c r="AB1" s="378"/>
      <c r="AC1" s="378"/>
      <c r="AD1" s="378"/>
    </row>
    <row r="2" spans="1:30" ht="14.25" customHeight="1" x14ac:dyDescent="0.2">
      <c r="A2" s="378"/>
      <c r="B2" s="378"/>
      <c r="C2" s="378"/>
      <c r="D2" s="378"/>
      <c r="E2" s="378"/>
      <c r="F2" s="378"/>
      <c r="G2" s="378"/>
      <c r="I2" s="378"/>
      <c r="J2" s="378"/>
      <c r="K2" s="378"/>
      <c r="L2" s="378"/>
      <c r="M2" s="378"/>
      <c r="N2" s="378"/>
      <c r="P2" s="378"/>
      <c r="Q2" s="378"/>
      <c r="R2" s="378"/>
      <c r="S2" s="378"/>
      <c r="T2" s="378"/>
      <c r="U2" s="378"/>
      <c r="V2" s="378"/>
      <c r="X2" s="378"/>
      <c r="Y2" s="378"/>
      <c r="Z2" s="378"/>
      <c r="AA2" s="378"/>
      <c r="AB2" s="378"/>
      <c r="AC2" s="378"/>
      <c r="AD2" s="378"/>
    </row>
    <row r="3" spans="1:30" ht="15.75" x14ac:dyDescent="0.25">
      <c r="A3" s="1" t="s">
        <v>540</v>
      </c>
      <c r="B3" s="18"/>
      <c r="C3" s="18"/>
      <c r="D3" s="18"/>
      <c r="E3" s="18"/>
      <c r="F3" s="18"/>
      <c r="G3" s="18"/>
      <c r="I3" s="1" t="s">
        <v>541</v>
      </c>
      <c r="P3" s="181" t="s">
        <v>537</v>
      </c>
      <c r="S3" s="89"/>
      <c r="T3" s="89"/>
      <c r="U3" s="89"/>
      <c r="V3" s="89"/>
      <c r="W3" s="89"/>
      <c r="X3" s="1" t="s">
        <v>533</v>
      </c>
    </row>
    <row r="4" spans="1:30" ht="12.75" customHeight="1" x14ac:dyDescent="0.25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2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4.95" customHeight="1" x14ac:dyDescent="0.2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4">SUM(B36,B65,B94,B123,B152,B181,B210,B239,B268)</f>
        <v>220.42416840586921</v>
      </c>
      <c r="C7" s="11">
        <f t="shared" si="4"/>
        <v>228.60191583847345</v>
      </c>
      <c r="D7" s="11">
        <f t="shared" si="4"/>
        <v>8.1777474326042654</v>
      </c>
      <c r="E7" s="11">
        <f t="shared" si="4"/>
        <v>109.48805252457601</v>
      </c>
      <c r="F7" s="11">
        <f t="shared" si="4"/>
        <v>117.66579995718025</v>
      </c>
      <c r="G7" s="200">
        <f>IF(B7&gt;0,(1+(E7/B7))^(1/($C$6-$B$6))-1,0)</f>
        <v>2.7249518007222751E-2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147.27770381805956</v>
      </c>
      <c r="R7" s="11">
        <v>143.32246372020509</v>
      </c>
      <c r="S7" s="342">
        <f>R7-Q7</f>
        <v>-3.9552400978544711</v>
      </c>
      <c r="T7" s="342">
        <v>64.394404003614611</v>
      </c>
      <c r="U7" s="342">
        <f>SUM(S7:T7)</f>
        <v>60.43916390576014</v>
      </c>
      <c r="V7" s="343">
        <f>IF(Q7&gt;0,(1+(T7/Q7))^(1/($C$6-$B$6))-1,0)</f>
        <v>2.4475968207780419E-2</v>
      </c>
      <c r="W7" s="343"/>
      <c r="X7" s="10" t="str">
        <f>name!A4</f>
        <v>Agriculture, etc</v>
      </c>
      <c r="Y7" s="10">
        <v>58.314000000000618</v>
      </c>
      <c r="Z7" s="10">
        <v>62.039999999227852</v>
      </c>
      <c r="AA7" s="342">
        <f>Z7-Y7</f>
        <v>3.7259999992272341</v>
      </c>
      <c r="AB7" s="10">
        <v>30.064034029616614</v>
      </c>
      <c r="AC7" s="342">
        <f>SUM(AA7:AB7)</f>
        <v>33.790034028843849</v>
      </c>
      <c r="AD7" s="343">
        <f>IF(Y7&gt;0,(1+(AB7/Y7))^(1/($C$6-$B$6))-1,0)</f>
        <v>2.810648902380497E-2</v>
      </c>
    </row>
    <row r="8" spans="1:30" x14ac:dyDescent="0.2">
      <c r="A8" s="10" t="str">
        <f>name!D5</f>
        <v>12 Other managers and proprietors</v>
      </c>
      <c r="B8" s="11">
        <f t="shared" si="4"/>
        <v>116.24748966700457</v>
      </c>
      <c r="C8" s="11">
        <f t="shared" si="4"/>
        <v>165.54721327345106</v>
      </c>
      <c r="D8" s="11">
        <f t="shared" si="4"/>
        <v>49.299723606446506</v>
      </c>
      <c r="E8" s="11">
        <f t="shared" si="4"/>
        <v>84.080970324042909</v>
      </c>
      <c r="F8" s="11">
        <f t="shared" si="4"/>
        <v>133.3806939304894</v>
      </c>
      <c r="G8" s="200">
        <f>IF(B8&gt;0,(1+(E8/B8))^(1/($C$6-$B$6))-1,0)</f>
        <v>3.6948699546108354E-2</v>
      </c>
      <c r="H8" s="11"/>
      <c r="I8" s="10" t="str">
        <f>name!E4</f>
        <v>Managers, directors and senior officials</v>
      </c>
      <c r="J8" s="11">
        <f t="array" ref="J8:J16">MMULT(aggregation!$B$38:$AA$46,B7:B32)</f>
        <v>336.67165807287381</v>
      </c>
      <c r="K8" s="11">
        <f t="array" ref="K8:K16">MMULT(aggregation!$B$38:$AA$46,C7:C32)</f>
        <v>394.14912911192448</v>
      </c>
      <c r="L8" s="11">
        <f t="array" ref="L8:L16">MMULT(aggregation!$B$38:$AA$46,D7:D32)</f>
        <v>57.477471039050769</v>
      </c>
      <c r="M8" s="11">
        <f t="array" ref="M8:M16">MMULT(aggregation!$B$38:$AA$46,E7:E32)</f>
        <v>193.56902284861891</v>
      </c>
      <c r="N8" s="11">
        <f t="array" ref="N8:N16">MMULT(aggregation!$B$38:$AA$46,F7:F32)</f>
        <v>251.04649388766967</v>
      </c>
      <c r="O8" s="11"/>
      <c r="P8" s="10" t="str">
        <f>name!D5</f>
        <v>12 Other managers and proprietors</v>
      </c>
      <c r="Q8" s="11">
        <v>67.897013109996891</v>
      </c>
      <c r="R8" s="11">
        <v>101.83460655235328</v>
      </c>
      <c r="S8" s="342">
        <f t="shared" ref="S8:S31" si="5">R8-Q8</f>
        <v>33.937593442356388</v>
      </c>
      <c r="T8" s="342">
        <v>46.106686831312722</v>
      </c>
      <c r="U8" s="342">
        <f t="shared" ref="U8:U31" si="6">SUM(S8:T8)</f>
        <v>80.044280273669102</v>
      </c>
      <c r="V8" s="343">
        <f t="shared" ref="V8:V33" si="7">IF(Q8&gt;0,(1+(T8/Q8))^(1/($C$6-$B$6))-1,0)</f>
        <v>3.5153015958844236E-2</v>
      </c>
      <c r="W8" s="343"/>
      <c r="X8" s="10" t="str">
        <f>name!A5</f>
        <v>Coal, oil &amp; gas; Mining &amp; related</v>
      </c>
      <c r="Y8" s="10">
        <v>3.522000000009839</v>
      </c>
      <c r="Z8" s="10">
        <v>1.8950000000172895</v>
      </c>
      <c r="AA8" s="342">
        <f t="shared" ref="AA8:AA71" si="8">Z8-Y8</f>
        <v>-1.6269999999925495</v>
      </c>
      <c r="AB8" s="10">
        <v>1.0623111699333236</v>
      </c>
      <c r="AC8" s="342">
        <f t="shared" ref="AC8:AC71" si="9">SUM(AA8:AB8)</f>
        <v>-0.56468883005922588</v>
      </c>
      <c r="AD8" s="343">
        <f t="shared" ref="AD8:AD71" si="10">IF(Y8&gt;0,(1+(AB8/Y8))^(1/($C$6-$B$6))-1,0)</f>
        <v>1.7729388923498623E-2</v>
      </c>
    </row>
    <row r="9" spans="1:30" x14ac:dyDescent="0.2">
      <c r="A9" s="10" t="str">
        <f>name!D6</f>
        <v>21 Science, research, engineering and technology professionals</v>
      </c>
      <c r="B9" s="11">
        <f t="shared" si="4"/>
        <v>174.7897524058865</v>
      </c>
      <c r="C9" s="11">
        <f t="shared" si="4"/>
        <v>209.54199786733957</v>
      </c>
      <c r="D9" s="11">
        <f t="shared" si="4"/>
        <v>34.752245461453043</v>
      </c>
      <c r="E9" s="11">
        <f t="shared" si="4"/>
        <v>71.438987005482971</v>
      </c>
      <c r="F9" s="11">
        <f t="shared" si="4"/>
        <v>106.19123246693603</v>
      </c>
      <c r="G9" s="200">
        <f t="shared" ref="G9:G33" si="11">IF(B9&gt;0,(1+(E9/B9))^(1/($C$6-$B$6))-1,0)</f>
        <v>2.3108088902378032E-2</v>
      </c>
      <c r="H9" s="11"/>
      <c r="I9" s="10" t="str">
        <f>name!E5</f>
        <v>Professional occupations</v>
      </c>
      <c r="J9" s="11">
        <v>653.26421753907243</v>
      </c>
      <c r="K9" s="11">
        <v>810.33534990681142</v>
      </c>
      <c r="L9" s="11">
        <v>157.07113236773893</v>
      </c>
      <c r="M9" s="11">
        <v>345.1377187620941</v>
      </c>
      <c r="N9" s="11">
        <v>502.20885112983308</v>
      </c>
      <c r="O9" s="11"/>
      <c r="P9" s="10" t="str">
        <f>name!D6</f>
        <v>21 Science, research, engineering and technology professionals</v>
      </c>
      <c r="Q9" s="11">
        <v>137.60670702916633</v>
      </c>
      <c r="R9" s="11">
        <v>155.45643873539618</v>
      </c>
      <c r="S9" s="342">
        <f t="shared" si="5"/>
        <v>17.849731706229846</v>
      </c>
      <c r="T9" s="342">
        <v>47.462945543138837</v>
      </c>
      <c r="U9" s="342">
        <f t="shared" si="6"/>
        <v>65.312677249368676</v>
      </c>
      <c r="V9" s="343">
        <f t="shared" si="7"/>
        <v>1.9951937230426875E-2</v>
      </c>
      <c r="W9" s="343"/>
      <c r="X9" s="10" t="str">
        <f>name!A6</f>
        <v>Food products</v>
      </c>
      <c r="Y9" s="10">
        <v>30.017000000209848</v>
      </c>
      <c r="Z9" s="10">
        <v>23.190000000160264</v>
      </c>
      <c r="AA9" s="342">
        <f t="shared" si="8"/>
        <v>-6.8270000000495834</v>
      </c>
      <c r="AB9" s="10">
        <v>11.71223978719255</v>
      </c>
      <c r="AC9" s="342">
        <f t="shared" si="9"/>
        <v>4.8852397871429663</v>
      </c>
      <c r="AD9" s="343">
        <f t="shared" si="10"/>
        <v>2.2205498013172509E-2</v>
      </c>
    </row>
    <row r="10" spans="1:30" x14ac:dyDescent="0.2">
      <c r="A10" s="10" t="str">
        <f>name!D7</f>
        <v>22 Health professionals</v>
      </c>
      <c r="B10" s="11">
        <f t="shared" si="4"/>
        <v>136.06688372711446</v>
      </c>
      <c r="C10" s="11">
        <f t="shared" si="4"/>
        <v>175.96215290882731</v>
      </c>
      <c r="D10" s="11">
        <f t="shared" si="4"/>
        <v>39.895269181712813</v>
      </c>
      <c r="E10" s="11">
        <f t="shared" si="4"/>
        <v>83.671881352701789</v>
      </c>
      <c r="F10" s="11">
        <f t="shared" si="4"/>
        <v>123.56715053441464</v>
      </c>
      <c r="G10" s="200">
        <f t="shared" si="11"/>
        <v>3.2468830299690943E-2</v>
      </c>
      <c r="H10" s="11"/>
      <c r="I10" s="10" t="str">
        <f>name!E6</f>
        <v>Associate professional occupations</v>
      </c>
      <c r="J10" s="11">
        <v>375.74934036250505</v>
      </c>
      <c r="K10" s="11">
        <v>411.60929315144801</v>
      </c>
      <c r="L10" s="11">
        <v>35.859952788942962</v>
      </c>
      <c r="M10" s="11">
        <v>180.55431933469424</v>
      </c>
      <c r="N10" s="11">
        <v>216.4142721236372</v>
      </c>
      <c r="O10" s="11"/>
      <c r="P10" s="10" t="str">
        <f>name!D7</f>
        <v>22 Health professionals</v>
      </c>
      <c r="Q10" s="11">
        <v>38.971934377204661</v>
      </c>
      <c r="R10" s="11">
        <v>50.923369963451925</v>
      </c>
      <c r="S10" s="342">
        <f t="shared" si="5"/>
        <v>11.951435586247264</v>
      </c>
      <c r="T10" s="342">
        <v>17.494974686442294</v>
      </c>
      <c r="U10" s="342">
        <f t="shared" si="6"/>
        <v>29.446410272689558</v>
      </c>
      <c r="V10" s="343">
        <f t="shared" si="7"/>
        <v>2.5028962926222809E-2</v>
      </c>
      <c r="W10" s="343"/>
      <c r="X10" s="10" t="str">
        <f>name!A7</f>
        <v>Beverages and tobacco</v>
      </c>
      <c r="Y10" s="10">
        <v>5.4120000000102513</v>
      </c>
      <c r="Z10" s="10">
        <v>4.3090000000003368</v>
      </c>
      <c r="AA10" s="342">
        <f t="shared" si="8"/>
        <v>-1.1030000000099145</v>
      </c>
      <c r="AB10" s="10">
        <v>2.4034233574799635</v>
      </c>
      <c r="AC10" s="342">
        <f t="shared" si="9"/>
        <v>1.300423357470049</v>
      </c>
      <c r="AD10" s="343">
        <f t="shared" si="10"/>
        <v>2.4801253707848581E-2</v>
      </c>
    </row>
    <row r="11" spans="1:30" x14ac:dyDescent="0.2">
      <c r="A11" s="10" t="str">
        <f>name!D8</f>
        <v>23 Teaching and other educational professionals</v>
      </c>
      <c r="B11" s="11">
        <f t="shared" si="4"/>
        <v>147.16638535201338</v>
      </c>
      <c r="C11" s="11">
        <f t="shared" si="4"/>
        <v>172.55168775110644</v>
      </c>
      <c r="D11" s="11">
        <f t="shared" si="4"/>
        <v>25.385302399093039</v>
      </c>
      <c r="E11" s="11">
        <f t="shared" si="4"/>
        <v>81.720722728835341</v>
      </c>
      <c r="F11" s="11">
        <f t="shared" si="4"/>
        <v>107.10602512792836</v>
      </c>
      <c r="G11" s="200">
        <f t="shared" si="11"/>
        <v>2.9882109563878378E-2</v>
      </c>
      <c r="H11" s="11"/>
      <c r="I11" s="10" t="str">
        <f>name!E7</f>
        <v>Administrative and secretarial occupations</v>
      </c>
      <c r="J11" s="11">
        <v>294.34089992140417</v>
      </c>
      <c r="K11" s="11">
        <v>261.62983253168716</v>
      </c>
      <c r="L11" s="11">
        <v>-32.711067389717044</v>
      </c>
      <c r="M11" s="11">
        <v>139.84064291799467</v>
      </c>
      <c r="N11" s="11">
        <v>107.12957552827763</v>
      </c>
      <c r="O11" s="11"/>
      <c r="P11" s="10" t="str">
        <f>name!D8</f>
        <v>23 Teaching and other educational professionals</v>
      </c>
      <c r="Q11" s="11">
        <v>46.645682691708984</v>
      </c>
      <c r="R11" s="11">
        <v>56.15203935793744</v>
      </c>
      <c r="S11" s="342">
        <f t="shared" si="5"/>
        <v>9.5063566662284558</v>
      </c>
      <c r="T11" s="342">
        <v>22.101464184808066</v>
      </c>
      <c r="U11" s="342">
        <f t="shared" si="6"/>
        <v>31.607820851036522</v>
      </c>
      <c r="V11" s="343">
        <f t="shared" si="7"/>
        <v>2.6194182599010851E-2</v>
      </c>
      <c r="W11" s="343"/>
      <c r="X11" s="10" t="str">
        <f>name!A8</f>
        <v>Textiles</v>
      </c>
      <c r="Y11" s="10">
        <v>2.1189999999984122</v>
      </c>
      <c r="Z11" s="10">
        <v>1.5500000000105041</v>
      </c>
      <c r="AA11" s="342">
        <f t="shared" si="8"/>
        <v>-0.56899999998790807</v>
      </c>
      <c r="AB11" s="10">
        <v>0.83127827330377024</v>
      </c>
      <c r="AC11" s="342">
        <f t="shared" si="9"/>
        <v>0.26227827331586218</v>
      </c>
      <c r="AD11" s="343">
        <f t="shared" si="10"/>
        <v>2.2308884155328945E-2</v>
      </c>
    </row>
    <row r="12" spans="1:30" x14ac:dyDescent="0.2">
      <c r="A12" s="10" t="str">
        <f>name!D9</f>
        <v>24 Business, media and public service professionals</v>
      </c>
      <c r="B12" s="11">
        <f t="shared" si="4"/>
        <v>195.24119605405804</v>
      </c>
      <c r="C12" s="11">
        <f t="shared" si="4"/>
        <v>252.27951137953809</v>
      </c>
      <c r="D12" s="11">
        <f t="shared" si="4"/>
        <v>57.038315325480042</v>
      </c>
      <c r="E12" s="11">
        <f t="shared" si="4"/>
        <v>108.30612767507399</v>
      </c>
      <c r="F12" s="11">
        <f t="shared" si="4"/>
        <v>165.34444300055404</v>
      </c>
      <c r="G12" s="200">
        <f t="shared" si="11"/>
        <v>2.9857169110691029E-2</v>
      </c>
      <c r="H12" s="11"/>
      <c r="I12" s="10" t="str">
        <f>name!E8</f>
        <v>Skilled trades occupations</v>
      </c>
      <c r="J12" s="11">
        <v>298.0131849335549</v>
      </c>
      <c r="K12" s="11">
        <v>306.49084511758684</v>
      </c>
      <c r="L12" s="11">
        <v>8.4776601840320094</v>
      </c>
      <c r="M12" s="11">
        <v>131.92638561035665</v>
      </c>
      <c r="N12" s="11">
        <v>140.40404579438868</v>
      </c>
      <c r="O12" s="11"/>
      <c r="P12" s="10" t="str">
        <f>name!D9</f>
        <v>24 Business, media and public service professionals</v>
      </c>
      <c r="Q12" s="11">
        <v>110.15590879838491</v>
      </c>
      <c r="R12" s="11">
        <v>139.45093516071509</v>
      </c>
      <c r="S12" s="342">
        <f t="shared" si="5"/>
        <v>29.295026362330177</v>
      </c>
      <c r="T12" s="342">
        <v>53.487698574453781</v>
      </c>
      <c r="U12" s="342">
        <f t="shared" si="6"/>
        <v>82.78272493678395</v>
      </c>
      <c r="V12" s="343">
        <f t="shared" si="7"/>
        <v>2.673748156780098E-2</v>
      </c>
      <c r="W12" s="343"/>
      <c r="X12" s="10" t="str">
        <f>name!A9</f>
        <v>Wearing apparel; Leather, etc</v>
      </c>
      <c r="Y12" s="10">
        <v>3.7449999999992682</v>
      </c>
      <c r="Z12" s="10">
        <v>2.7620000000211991</v>
      </c>
      <c r="AA12" s="342">
        <f t="shared" si="8"/>
        <v>-0.98299999997806919</v>
      </c>
      <c r="AB12" s="10">
        <v>1.4801653480607453</v>
      </c>
      <c r="AC12" s="342">
        <f t="shared" si="9"/>
        <v>0.4971653480826761</v>
      </c>
      <c r="AD12" s="343">
        <f t="shared" si="10"/>
        <v>2.2452672427927034E-2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4"/>
        <v>57.227042817144053</v>
      </c>
      <c r="C13" s="11">
        <f t="shared" si="4"/>
        <v>54.695032844743444</v>
      </c>
      <c r="D13" s="11">
        <f t="shared" si="4"/>
        <v>-2.5320099724006084</v>
      </c>
      <c r="E13" s="11">
        <f t="shared" si="4"/>
        <v>21.625845509805291</v>
      </c>
      <c r="F13" s="11">
        <f t="shared" si="4"/>
        <v>19.093835537404683</v>
      </c>
      <c r="G13" s="200">
        <f t="shared" si="11"/>
        <v>2.160047634917972E-2</v>
      </c>
      <c r="H13" s="11"/>
      <c r="I13" s="10" t="str">
        <f>name!E9</f>
        <v>Caring, leisure and other service occupations</v>
      </c>
      <c r="J13" s="11">
        <v>277.08533235276263</v>
      </c>
      <c r="K13" s="11">
        <v>336.06765480598966</v>
      </c>
      <c r="L13" s="11">
        <v>58.982322453227063</v>
      </c>
      <c r="M13" s="11">
        <v>171.64198305127127</v>
      </c>
      <c r="N13" s="11">
        <v>230.62430550449827</v>
      </c>
      <c r="O13" s="11"/>
      <c r="P13" s="10" t="str">
        <f>name!D10</f>
        <v>31 Science, engineering and technology associate professionals</v>
      </c>
      <c r="Q13" s="11">
        <v>41.135843935775256</v>
      </c>
      <c r="R13" s="11">
        <v>34.792218614813571</v>
      </c>
      <c r="S13" s="342">
        <f t="shared" si="5"/>
        <v>-6.3436253209616851</v>
      </c>
      <c r="T13" s="342">
        <v>12.705323333630945</v>
      </c>
      <c r="U13" s="342">
        <f t="shared" si="6"/>
        <v>6.3616980126692599</v>
      </c>
      <c r="V13" s="343">
        <f t="shared" si="7"/>
        <v>1.8105859645127786E-2</v>
      </c>
      <c r="W13" s="343"/>
      <c r="X13" s="10" t="str">
        <f>name!A10</f>
        <v xml:space="preserve">Wood and cork </v>
      </c>
      <c r="Y13" s="10">
        <v>4.4820000000101343</v>
      </c>
      <c r="Z13" s="10">
        <v>4.5460000000370338</v>
      </c>
      <c r="AA13" s="342">
        <f t="shared" si="8"/>
        <v>6.4000000026899428E-2</v>
      </c>
      <c r="AB13" s="10">
        <v>2.0395303729611181</v>
      </c>
      <c r="AC13" s="342">
        <f t="shared" si="9"/>
        <v>2.1035303729880175</v>
      </c>
      <c r="AD13" s="343">
        <f t="shared" si="10"/>
        <v>2.5317833702950043E-2</v>
      </c>
    </row>
    <row r="14" spans="1:30" x14ac:dyDescent="0.2">
      <c r="A14" s="10" t="str">
        <f>name!D11</f>
        <v>32 Health and social care associate professionals</v>
      </c>
      <c r="B14" s="11">
        <f t="shared" si="4"/>
        <v>58.891200721634775</v>
      </c>
      <c r="C14" s="11">
        <f t="shared" si="4"/>
        <v>70.358001501575629</v>
      </c>
      <c r="D14" s="11">
        <f t="shared" si="4"/>
        <v>11.46680077994086</v>
      </c>
      <c r="E14" s="11">
        <f t="shared" si="4"/>
        <v>36.552650658770716</v>
      </c>
      <c r="F14" s="11">
        <f t="shared" si="4"/>
        <v>48.019451438711577</v>
      </c>
      <c r="G14" s="200">
        <f t="shared" si="11"/>
        <v>3.2713457512189459E-2</v>
      </c>
      <c r="H14" s="11"/>
      <c r="I14" s="10" t="str">
        <f>name!E10</f>
        <v>Sales and customer service occupations</v>
      </c>
      <c r="J14" s="11">
        <v>253.42954939024077</v>
      </c>
      <c r="K14" s="11">
        <v>254.44754524875708</v>
      </c>
      <c r="L14" s="11">
        <v>1.0179958585163114</v>
      </c>
      <c r="M14" s="11">
        <v>118.26458225485899</v>
      </c>
      <c r="N14" s="11">
        <v>119.28257811337534</v>
      </c>
      <c r="O14" s="11"/>
      <c r="P14" s="10" t="str">
        <f>name!D11</f>
        <v>32 Health and social care associate professionals</v>
      </c>
      <c r="Q14" s="11">
        <v>13.399853468043014</v>
      </c>
      <c r="R14" s="11">
        <v>14.449847405721906</v>
      </c>
      <c r="S14" s="342">
        <f t="shared" si="5"/>
        <v>1.0499939376788916</v>
      </c>
      <c r="T14" s="342">
        <v>6.5186956884013698</v>
      </c>
      <c r="U14" s="342">
        <f t="shared" si="6"/>
        <v>7.5686896260802614</v>
      </c>
      <c r="V14" s="343">
        <f t="shared" si="7"/>
        <v>2.6779470646209669E-2</v>
      </c>
      <c r="W14" s="343"/>
      <c r="X14" s="10" t="str">
        <f>name!A11</f>
        <v>Paper, etc</v>
      </c>
      <c r="Y14" s="10">
        <v>3.9560000000174251</v>
      </c>
      <c r="Z14" s="10">
        <v>4.0800000000421361</v>
      </c>
      <c r="AA14" s="342">
        <f t="shared" si="8"/>
        <v>0.12400000002471101</v>
      </c>
      <c r="AB14" s="10">
        <v>1.6419830156300392</v>
      </c>
      <c r="AC14" s="342">
        <f t="shared" si="9"/>
        <v>1.7659830156547502</v>
      </c>
      <c r="AD14" s="343">
        <f t="shared" si="10"/>
        <v>2.3414783630612002E-2</v>
      </c>
    </row>
    <row r="15" spans="1:30" x14ac:dyDescent="0.2">
      <c r="A15" s="10" t="str">
        <f>name!D12</f>
        <v>33 Protective service occupations</v>
      </c>
      <c r="B15" s="11">
        <f t="shared" si="4"/>
        <v>21.19722975448542</v>
      </c>
      <c r="C15" s="11">
        <f t="shared" si="4"/>
        <v>29.961326346665267</v>
      </c>
      <c r="D15" s="11">
        <f t="shared" si="4"/>
        <v>8.7640965921798379</v>
      </c>
      <c r="E15" s="11">
        <f t="shared" si="4"/>
        <v>9.0351713500088326</v>
      </c>
      <c r="F15" s="11">
        <f t="shared" si="4"/>
        <v>17.799267942188671</v>
      </c>
      <c r="G15" s="200">
        <f t="shared" si="11"/>
        <v>2.3951929998921706E-2</v>
      </c>
      <c r="H15" s="11"/>
      <c r="I15" s="10" t="str">
        <f>name!E11</f>
        <v>Process, plant and machine operatives</v>
      </c>
      <c r="J15" s="11">
        <v>144.73576200901738</v>
      </c>
      <c r="K15" s="11">
        <v>165.50577506208231</v>
      </c>
      <c r="L15" s="11">
        <v>20.770013053064933</v>
      </c>
      <c r="M15" s="11">
        <v>75.347336569075338</v>
      </c>
      <c r="N15" s="11">
        <v>96.117349622140267</v>
      </c>
      <c r="O15" s="11"/>
      <c r="P15" s="10" t="str">
        <f>name!D12</f>
        <v>33 Protective service occupations</v>
      </c>
      <c r="Q15" s="11">
        <v>15.559644764294029</v>
      </c>
      <c r="R15" s="11">
        <v>20.133102914513874</v>
      </c>
      <c r="S15" s="342">
        <f t="shared" si="5"/>
        <v>4.5734581502198441</v>
      </c>
      <c r="T15" s="342">
        <v>5.1882350730808584</v>
      </c>
      <c r="U15" s="342">
        <f t="shared" si="6"/>
        <v>9.7616932233007034</v>
      </c>
      <c r="V15" s="343">
        <f t="shared" si="7"/>
        <v>1.9369424755424802E-2</v>
      </c>
      <c r="W15" s="343"/>
      <c r="X15" s="10" t="str">
        <f>name!A12</f>
        <v>Printing and recording</v>
      </c>
      <c r="Y15" s="10">
        <v>9.3929999999636546</v>
      </c>
      <c r="Z15" s="10">
        <v>6.9290000000438869</v>
      </c>
      <c r="AA15" s="342">
        <f t="shared" si="8"/>
        <v>-2.4639999999197677</v>
      </c>
      <c r="AB15" s="10">
        <v>3.59357667515139</v>
      </c>
      <c r="AC15" s="342">
        <f t="shared" si="9"/>
        <v>1.1295766752316223</v>
      </c>
      <c r="AD15" s="343">
        <f t="shared" si="10"/>
        <v>2.1831666809815076E-2</v>
      </c>
    </row>
    <row r="16" spans="1:30" x14ac:dyDescent="0.2">
      <c r="A16" s="10" t="str">
        <f>name!D13</f>
        <v>34 Culture, media and sports occupations</v>
      </c>
      <c r="B16" s="11">
        <f t="shared" si="4"/>
        <v>62.187444415764929</v>
      </c>
      <c r="C16" s="11">
        <f t="shared" si="4"/>
        <v>75.861044003421753</v>
      </c>
      <c r="D16" s="11">
        <f t="shared" si="4"/>
        <v>13.673599587656801</v>
      </c>
      <c r="E16" s="11">
        <f t="shared" si="4"/>
        <v>32.881110148143499</v>
      </c>
      <c r="F16" s="11">
        <f t="shared" si="4"/>
        <v>46.554709735800294</v>
      </c>
      <c r="G16" s="200">
        <f t="shared" si="11"/>
        <v>2.870048691243765E-2</v>
      </c>
      <c r="H16" s="11"/>
      <c r="I16" s="10" t="str">
        <f>name!E12</f>
        <v>Elementary occupations</v>
      </c>
      <c r="J16" s="11">
        <v>296.29705541503404</v>
      </c>
      <c r="K16" s="11">
        <v>299.85757506100595</v>
      </c>
      <c r="L16" s="11">
        <v>3.5605196459719179</v>
      </c>
      <c r="M16" s="11">
        <v>142.44827251221452</v>
      </c>
      <c r="N16" s="11">
        <v>146.00879215818642</v>
      </c>
      <c r="O16" s="11"/>
      <c r="P16" s="10" t="str">
        <f>name!D13</f>
        <v>34 Culture, media and sports occupations</v>
      </c>
      <c r="Q16" s="11">
        <v>26.582640202544823</v>
      </c>
      <c r="R16" s="11">
        <v>32.365737137121499</v>
      </c>
      <c r="S16" s="342">
        <f t="shared" si="5"/>
        <v>5.7830969345766761</v>
      </c>
      <c r="T16" s="342">
        <v>11.822705039282148</v>
      </c>
      <c r="U16" s="342">
        <f t="shared" si="6"/>
        <v>17.605801973858824</v>
      </c>
      <c r="V16" s="343">
        <f t="shared" si="7"/>
        <v>2.4832534236366E-2</v>
      </c>
      <c r="W16" s="343"/>
      <c r="X16" s="10" t="str">
        <f>name!A13</f>
        <v>Coke and petroleum; Chemicals, etc</v>
      </c>
      <c r="Y16" s="10">
        <v>7.8749999999565405</v>
      </c>
      <c r="Z16" s="10">
        <v>9.1989999999989163</v>
      </c>
      <c r="AA16" s="342">
        <f t="shared" si="8"/>
        <v>1.3240000000423757</v>
      </c>
      <c r="AB16" s="10">
        <v>3.8841469601376688</v>
      </c>
      <c r="AC16" s="342">
        <f t="shared" si="9"/>
        <v>5.208146960180045</v>
      </c>
      <c r="AD16" s="343">
        <f t="shared" si="10"/>
        <v>2.7089644137198388E-2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2">SUM(B46,B75,B104,B133,B162,B191,B220,B249,B278)</f>
        <v>176.24642265347589</v>
      </c>
      <c r="C17" s="11">
        <f t="shared" si="12"/>
        <v>180.73388845504198</v>
      </c>
      <c r="D17" s="11">
        <f t="shared" si="12"/>
        <v>4.4874658015660742</v>
      </c>
      <c r="E17" s="11">
        <f t="shared" si="12"/>
        <v>80.459541667965922</v>
      </c>
      <c r="F17" s="11">
        <f t="shared" si="12"/>
        <v>84.947007469531982</v>
      </c>
      <c r="G17" s="200">
        <f t="shared" si="11"/>
        <v>2.5386770525544167E-2</v>
      </c>
      <c r="H17" s="11"/>
      <c r="O17" s="11"/>
      <c r="P17" s="10" t="str">
        <f>name!D14</f>
        <v>35 Business and public service associate professionals</v>
      </c>
      <c r="Q17" s="11">
        <v>93.471933376030194</v>
      </c>
      <c r="R17" s="11">
        <v>87.7969855098425</v>
      </c>
      <c r="S17" s="342">
        <f t="shared" si="5"/>
        <v>-5.6749478661876935</v>
      </c>
      <c r="T17" s="342">
        <v>33.664255011856589</v>
      </c>
      <c r="U17" s="342">
        <f t="shared" si="6"/>
        <v>27.989307145668896</v>
      </c>
      <c r="V17" s="343">
        <f t="shared" si="7"/>
        <v>2.071821295951759E-2</v>
      </c>
      <c r="W17" s="343"/>
      <c r="X17" s="10" t="str">
        <f>name!A14</f>
        <v>Pharmaceuticals</v>
      </c>
      <c r="Y17" s="10">
        <v>5.1169999999688054</v>
      </c>
      <c r="Z17" s="10">
        <v>6.0119999999982436</v>
      </c>
      <c r="AA17" s="342">
        <f t="shared" si="8"/>
        <v>0.89500000002943825</v>
      </c>
      <c r="AB17" s="10">
        <v>2.6397677856115513</v>
      </c>
      <c r="AC17" s="342">
        <f t="shared" si="9"/>
        <v>3.5347677856409896</v>
      </c>
      <c r="AD17" s="343">
        <f t="shared" si="10"/>
        <v>2.8121303592803182E-2</v>
      </c>
    </row>
    <row r="18" spans="1:30" x14ac:dyDescent="0.2">
      <c r="A18" s="10" t="str">
        <f>name!D15</f>
        <v>41 Administrative occupations</v>
      </c>
      <c r="B18" s="11">
        <f t="shared" si="12"/>
        <v>240.29715716047519</v>
      </c>
      <c r="C18" s="11">
        <f t="shared" si="12"/>
        <v>210.0877454965798</v>
      </c>
      <c r="D18" s="11">
        <f t="shared" si="12"/>
        <v>-30.209411663895416</v>
      </c>
      <c r="E18" s="11">
        <f t="shared" si="12"/>
        <v>111.1969527763539</v>
      </c>
      <c r="F18" s="11">
        <f t="shared" si="12"/>
        <v>80.987541112458487</v>
      </c>
      <c r="G18" s="200">
        <f t="shared" si="11"/>
        <v>2.5678600490920411E-2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66.905200852534307</v>
      </c>
      <c r="R18" s="11">
        <v>66.447834846858285</v>
      </c>
      <c r="S18" s="342">
        <f t="shared" si="5"/>
        <v>-0.45736600567602181</v>
      </c>
      <c r="T18" s="342">
        <v>23.895518464039267</v>
      </c>
      <c r="U18" s="342">
        <f t="shared" si="6"/>
        <v>23.438152458363245</v>
      </c>
      <c r="V18" s="343">
        <f t="shared" si="7"/>
        <v>2.0568032453730734E-2</v>
      </c>
      <c r="W18" s="343"/>
      <c r="X18" s="10" t="str">
        <f>name!A15</f>
        <v>Rubber and plastic</v>
      </c>
      <c r="Y18" s="10">
        <v>12.589000000041191</v>
      </c>
      <c r="Z18" s="10">
        <v>11.415000000086014</v>
      </c>
      <c r="AA18" s="342">
        <f t="shared" si="8"/>
        <v>-1.1739999999551767</v>
      </c>
      <c r="AB18" s="10">
        <v>5.1936646338723707</v>
      </c>
      <c r="AC18" s="342">
        <f t="shared" si="9"/>
        <v>4.019664633917194</v>
      </c>
      <c r="AD18" s="343">
        <f t="shared" si="10"/>
        <v>2.3293872657246695E-2</v>
      </c>
    </row>
    <row r="19" spans="1:30" x14ac:dyDescent="0.2">
      <c r="A19" s="10" t="str">
        <f>name!D16</f>
        <v>42 Secretarial and related occupations</v>
      </c>
      <c r="B19" s="11">
        <f t="shared" si="12"/>
        <v>54.043742760928978</v>
      </c>
      <c r="C19" s="11">
        <f t="shared" si="12"/>
        <v>51.542087035107343</v>
      </c>
      <c r="D19" s="11">
        <f t="shared" si="12"/>
        <v>-2.5016557258216308</v>
      </c>
      <c r="E19" s="11">
        <f t="shared" si="12"/>
        <v>28.643690141640779</v>
      </c>
      <c r="F19" s="11">
        <f t="shared" si="12"/>
        <v>26.142034415819143</v>
      </c>
      <c r="G19" s="200">
        <f t="shared" si="11"/>
        <v>2.875732236003703E-2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4.9099875356398295</v>
      </c>
      <c r="K19" s="11">
        <f t="array" ref="K19:K27">MMULT(aggregation!$B$38:$AA$46,C36:C61)</f>
        <v>10.811481204797754</v>
      </c>
      <c r="L19" s="11">
        <f t="array" ref="L19:L27">MMULT(aggregation!$B$38:$AA$46,D36:D61)</f>
        <v>5.9014936691579241</v>
      </c>
      <c r="M19" s="11">
        <f t="array" ref="M19:M27">MMULT(aggregation!$B$38:$AA$46,E36:E61)</f>
        <v>4.2443603888313906</v>
      </c>
      <c r="N19" s="11">
        <f t="array" ref="N19:N27">MMULT(aggregation!$B$38:$AA$46,F36:F61)</f>
        <v>10.145854057989315</v>
      </c>
      <c r="O19" s="11"/>
      <c r="P19" s="10" t="str">
        <f>name!D16</f>
        <v>42 Secretarial and related occupations</v>
      </c>
      <c r="Q19" s="11">
        <v>4.4042167043455178</v>
      </c>
      <c r="R19" s="11">
        <v>7.8393588362517894</v>
      </c>
      <c r="S19" s="342">
        <f t="shared" si="5"/>
        <v>3.4351421319062716</v>
      </c>
      <c r="T19" s="342">
        <v>2.2013521058206313</v>
      </c>
      <c r="U19" s="342">
        <f t="shared" si="6"/>
        <v>5.6364942377269029</v>
      </c>
      <c r="V19" s="343">
        <f t="shared" si="7"/>
        <v>2.7391818004863122E-2</v>
      </c>
      <c r="W19" s="343"/>
      <c r="X19" s="10" t="str">
        <f>name!A16</f>
        <v>Other non-metallic</v>
      </c>
      <c r="Y19" s="10">
        <v>5.0410000000212793</v>
      </c>
      <c r="Z19" s="10">
        <v>4.5760000000327041</v>
      </c>
      <c r="AA19" s="342">
        <f t="shared" si="8"/>
        <v>-0.46499999998857522</v>
      </c>
      <c r="AB19" s="10">
        <v>2.180581860511809</v>
      </c>
      <c r="AC19" s="342">
        <f t="shared" si="9"/>
        <v>1.7155818605232338</v>
      </c>
      <c r="AD19" s="343">
        <f t="shared" si="10"/>
        <v>2.4254096078607512E-2</v>
      </c>
    </row>
    <row r="20" spans="1:30" x14ac:dyDescent="0.2">
      <c r="A20" s="10" t="str">
        <f>name!D17</f>
        <v>51 Skilled agricultural and related trades</v>
      </c>
      <c r="B20" s="11">
        <f t="shared" si="12"/>
        <v>43.389764166002074</v>
      </c>
      <c r="C20" s="11">
        <f t="shared" si="12"/>
        <v>47.518729761156862</v>
      </c>
      <c r="D20" s="11">
        <f t="shared" si="12"/>
        <v>4.128965595154793</v>
      </c>
      <c r="E20" s="11">
        <f t="shared" si="12"/>
        <v>23.957291134711738</v>
      </c>
      <c r="F20" s="11">
        <f t="shared" si="12"/>
        <v>28.086256729866534</v>
      </c>
      <c r="G20" s="200">
        <f t="shared" si="11"/>
        <v>2.9742778043562401E-2</v>
      </c>
      <c r="H20" s="11"/>
      <c r="I20" s="11" t="str">
        <f t="shared" si="13"/>
        <v>Professional occupations</v>
      </c>
      <c r="J20" s="11">
        <v>34.192277739887203</v>
      </c>
      <c r="K20" s="11">
        <v>63.28899631551247</v>
      </c>
      <c r="L20" s="11">
        <v>29.096718575625271</v>
      </c>
      <c r="M20" s="11">
        <v>22.612537630069699</v>
      </c>
      <c r="N20" s="11">
        <v>51.70925620569497</v>
      </c>
      <c r="O20" s="11"/>
      <c r="P20" s="10" t="str">
        <f>name!D17</f>
        <v>51 Skilled agricultural and related trades</v>
      </c>
      <c r="Q20" s="11">
        <v>37.864920023095074</v>
      </c>
      <c r="R20" s="11">
        <v>40.041180711108417</v>
      </c>
      <c r="S20" s="342">
        <f t="shared" si="5"/>
        <v>2.1762606880133433</v>
      </c>
      <c r="T20" s="342">
        <v>19.473976063704352</v>
      </c>
      <c r="U20" s="342">
        <f t="shared" si="6"/>
        <v>21.650236751717696</v>
      </c>
      <c r="V20" s="343">
        <f t="shared" si="7"/>
        <v>2.8049798369735646E-2</v>
      </c>
      <c r="W20" s="343"/>
      <c r="X20" s="10" t="str">
        <f>name!A17</f>
        <v>Basic metals</v>
      </c>
      <c r="Y20" s="10">
        <v>2.6810000000034027</v>
      </c>
      <c r="Z20" s="10">
        <v>2.2140000000127893</v>
      </c>
      <c r="AA20" s="342">
        <f t="shared" si="8"/>
        <v>-0.46699999999061337</v>
      </c>
      <c r="AB20" s="10">
        <v>0.9700991000159217</v>
      </c>
      <c r="AC20" s="342">
        <f t="shared" si="9"/>
        <v>0.50309910002530833</v>
      </c>
      <c r="AD20" s="343">
        <f t="shared" si="10"/>
        <v>2.0802646065244845E-2</v>
      </c>
    </row>
    <row r="21" spans="1:30" x14ac:dyDescent="0.2">
      <c r="A21" s="10" t="str">
        <f>name!D18</f>
        <v>52 Skilled metal, electrical and electronic trades</v>
      </c>
      <c r="B21" s="11">
        <f t="shared" si="12"/>
        <v>105.38577813988407</v>
      </c>
      <c r="C21" s="11">
        <f t="shared" si="12"/>
        <v>101.33738383927188</v>
      </c>
      <c r="D21" s="11">
        <f t="shared" si="12"/>
        <v>-4.0483943006121645</v>
      </c>
      <c r="E21" s="11">
        <f t="shared" si="12"/>
        <v>39.927061313496218</v>
      </c>
      <c r="F21" s="11">
        <f t="shared" si="12"/>
        <v>35.878667012884051</v>
      </c>
      <c r="G21" s="200">
        <f t="shared" si="11"/>
        <v>2.1648414840337749E-2</v>
      </c>
      <c r="H21" s="11"/>
      <c r="I21" s="11" t="str">
        <f t="shared" si="13"/>
        <v>Associate professional occupations</v>
      </c>
      <c r="J21" s="11">
        <v>4.7126139780591725</v>
      </c>
      <c r="K21" s="11">
        <v>9.535950738394785</v>
      </c>
      <c r="L21" s="11">
        <v>4.8233367603356143</v>
      </c>
      <c r="M21" s="11">
        <v>3.358703681352277</v>
      </c>
      <c r="N21" s="11">
        <v>8.1820404416878905</v>
      </c>
      <c r="O21" s="11"/>
      <c r="P21" s="10" t="str">
        <f>name!D18</f>
        <v>52 Skilled metal, electrical and electronic trades</v>
      </c>
      <c r="Q21" s="11">
        <v>102.48517582773572</v>
      </c>
      <c r="R21" s="11">
        <v>92.197140140067447</v>
      </c>
      <c r="S21" s="342">
        <f t="shared" si="5"/>
        <v>-10.28803568766827</v>
      </c>
      <c r="T21" s="342">
        <v>35.889346668939787</v>
      </c>
      <c r="U21" s="342">
        <f t="shared" si="6"/>
        <v>25.601310981271517</v>
      </c>
      <c r="V21" s="343">
        <f t="shared" si="7"/>
        <v>2.0218056379131877E-2</v>
      </c>
      <c r="W21" s="343"/>
      <c r="X21" s="10" t="str">
        <f>name!A18</f>
        <v>Metal products</v>
      </c>
      <c r="Y21" s="10">
        <v>25.411000000053686</v>
      </c>
      <c r="Z21" s="10">
        <v>20.930000000153687</v>
      </c>
      <c r="AA21" s="342">
        <f t="shared" si="8"/>
        <v>-4.4809999998999999</v>
      </c>
      <c r="AB21" s="10">
        <v>9.5387542299152663</v>
      </c>
      <c r="AC21" s="342">
        <f t="shared" si="9"/>
        <v>5.0577542300152665</v>
      </c>
      <c r="AD21" s="343">
        <f t="shared" si="10"/>
        <v>2.1475978438570742E-2</v>
      </c>
    </row>
    <row r="22" spans="1:30" x14ac:dyDescent="0.2">
      <c r="A22" s="10" t="str">
        <f>name!D19</f>
        <v>53 Skilled construction and building trades</v>
      </c>
      <c r="B22" s="11">
        <f t="shared" si="12"/>
        <v>93.794072482198573</v>
      </c>
      <c r="C22" s="11">
        <f t="shared" si="12"/>
        <v>103.3681541791766</v>
      </c>
      <c r="D22" s="11">
        <f t="shared" si="12"/>
        <v>9.5740816969780198</v>
      </c>
      <c r="E22" s="11">
        <f t="shared" si="12"/>
        <v>43.403879389862347</v>
      </c>
      <c r="F22" s="11">
        <f t="shared" si="12"/>
        <v>52.977961086840367</v>
      </c>
      <c r="G22" s="200">
        <f t="shared" si="11"/>
        <v>2.5679043884638375E-2</v>
      </c>
      <c r="H22" s="11"/>
      <c r="I22" s="11" t="str">
        <f t="shared" si="13"/>
        <v>Administrative and secretarial occupations</v>
      </c>
      <c r="J22" s="11">
        <v>1.4195209466916734</v>
      </c>
      <c r="K22" s="11">
        <v>3.3757836613126959</v>
      </c>
      <c r="L22" s="11">
        <v>1.9562627146210223</v>
      </c>
      <c r="M22" s="11">
        <v>1.3185346754265816</v>
      </c>
      <c r="N22" s="11">
        <v>3.2747973900476035</v>
      </c>
      <c r="O22" s="11"/>
      <c r="P22" s="10" t="str">
        <f>name!D19</f>
        <v>53 Skilled construction and building trades</v>
      </c>
      <c r="Q22" s="11">
        <v>91.528853254471713</v>
      </c>
      <c r="R22" s="11">
        <v>100.26053977692051</v>
      </c>
      <c r="S22" s="342">
        <f t="shared" si="5"/>
        <v>8.7316865224487969</v>
      </c>
      <c r="T22" s="342">
        <v>41.943777305492034</v>
      </c>
      <c r="U22" s="342">
        <f t="shared" si="6"/>
        <v>50.675463827940831</v>
      </c>
      <c r="V22" s="343">
        <f t="shared" si="7"/>
        <v>2.5468394963126473E-2</v>
      </c>
      <c r="W22" s="343"/>
      <c r="X22" s="10" t="str">
        <f>name!A19</f>
        <v>Computer, etc</v>
      </c>
      <c r="Y22" s="10">
        <v>13.864999999974902</v>
      </c>
      <c r="Z22" s="10">
        <v>9.9400000000737023</v>
      </c>
      <c r="AA22" s="342">
        <f t="shared" si="8"/>
        <v>-3.9249999999011997</v>
      </c>
      <c r="AB22" s="10">
        <v>5.3494412335781378</v>
      </c>
      <c r="AC22" s="342">
        <f t="shared" si="9"/>
        <v>1.4244412336769381</v>
      </c>
      <c r="AD22" s="343">
        <f t="shared" si="10"/>
        <v>2.1991284973363445E-2</v>
      </c>
    </row>
    <row r="23" spans="1:30" x14ac:dyDescent="0.2">
      <c r="A23" s="10" t="str">
        <f>name!D20</f>
        <v>54 Textiles, printing and other skilled trades</v>
      </c>
      <c r="B23" s="11">
        <f t="shared" si="12"/>
        <v>55.443570145470154</v>
      </c>
      <c r="C23" s="11">
        <f t="shared" si="12"/>
        <v>54.266577337981516</v>
      </c>
      <c r="D23" s="11">
        <f t="shared" si="12"/>
        <v>-1.1769928074886393</v>
      </c>
      <c r="E23" s="11">
        <f t="shared" si="12"/>
        <v>24.638153772286355</v>
      </c>
      <c r="F23" s="11">
        <f t="shared" si="12"/>
        <v>23.461160964797717</v>
      </c>
      <c r="G23" s="200">
        <f t="shared" si="11"/>
        <v>2.4815019499772051E-2</v>
      </c>
      <c r="H23" s="11"/>
      <c r="I23" s="11" t="str">
        <f t="shared" si="13"/>
        <v>Skilled trades occupations</v>
      </c>
      <c r="J23" s="11">
        <v>0.4936671292826848</v>
      </c>
      <c r="K23" s="11">
        <v>1.1787571174043348</v>
      </c>
      <c r="L23" s="11">
        <v>0.6850899881216499</v>
      </c>
      <c r="M23" s="11">
        <v>0.45839948070836101</v>
      </c>
      <c r="N23" s="11">
        <v>1.143489468830011</v>
      </c>
      <c r="O23" s="11"/>
      <c r="P23" s="10" t="str">
        <f>name!D20</f>
        <v>54 Textiles, printing and other skilled trades</v>
      </c>
      <c r="Q23" s="11">
        <v>30.004086961532259</v>
      </c>
      <c r="R23" s="11">
        <v>28.141886668929022</v>
      </c>
      <c r="S23" s="342">
        <f t="shared" si="5"/>
        <v>-1.8622002926032373</v>
      </c>
      <c r="T23" s="342">
        <v>9.2166016144084359</v>
      </c>
      <c r="U23" s="342">
        <f t="shared" si="6"/>
        <v>7.3544013218051987</v>
      </c>
      <c r="V23" s="343">
        <f t="shared" si="7"/>
        <v>1.8018459969240563E-2</v>
      </c>
      <c r="W23" s="343"/>
      <c r="X23" s="10" t="str">
        <f>name!A20</f>
        <v>Electrical equipment</v>
      </c>
      <c r="Y23" s="10">
        <v>9.932999999992516</v>
      </c>
      <c r="Z23" s="10">
        <v>9.1120000000323778</v>
      </c>
      <c r="AA23" s="342">
        <f t="shared" si="8"/>
        <v>-0.82099999996013828</v>
      </c>
      <c r="AB23" s="10">
        <v>4.3211477292353004</v>
      </c>
      <c r="AC23" s="342">
        <f t="shared" si="9"/>
        <v>3.5001477292751622</v>
      </c>
      <c r="AD23" s="343">
        <f t="shared" si="10"/>
        <v>2.4371266372199996E-2</v>
      </c>
    </row>
    <row r="24" spans="1:30" x14ac:dyDescent="0.2">
      <c r="A24" s="10" t="str">
        <f>name!D21</f>
        <v>61 Caring personal service occupations</v>
      </c>
      <c r="B24" s="11">
        <f t="shared" si="12"/>
        <v>213.74995100728057</v>
      </c>
      <c r="C24" s="11">
        <f t="shared" si="12"/>
        <v>261.37055548425383</v>
      </c>
      <c r="D24" s="11">
        <f t="shared" si="12"/>
        <v>47.620604476973291</v>
      </c>
      <c r="E24" s="11">
        <f t="shared" si="12"/>
        <v>135.92529952579289</v>
      </c>
      <c r="F24" s="11">
        <f t="shared" si="12"/>
        <v>183.54590400276615</v>
      </c>
      <c r="G24" s="200">
        <f t="shared" si="11"/>
        <v>3.3357489310514854E-2</v>
      </c>
      <c r="H24" s="11"/>
      <c r="I24" s="11" t="str">
        <f t="shared" si="13"/>
        <v>Caring, leisure and other service occupations</v>
      </c>
      <c r="J24" s="11">
        <v>0.29267078247206946</v>
      </c>
      <c r="K24" s="11">
        <v>0.70730771754038613</v>
      </c>
      <c r="L24" s="11">
        <v>0.41463693506831667</v>
      </c>
      <c r="M24" s="11">
        <v>0.29052653855091098</v>
      </c>
      <c r="N24" s="11">
        <v>0.70516347361922782</v>
      </c>
      <c r="O24" s="11"/>
      <c r="P24" s="10" t="str">
        <f>name!D21</f>
        <v>61 Caring personal service occupations</v>
      </c>
      <c r="Q24" s="11">
        <v>21.691970638647025</v>
      </c>
      <c r="R24" s="11">
        <v>33.027594035640121</v>
      </c>
      <c r="S24" s="342">
        <f t="shared" si="5"/>
        <v>11.335623396993096</v>
      </c>
      <c r="T24" s="342">
        <v>12.648704064021851</v>
      </c>
      <c r="U24" s="342">
        <f t="shared" si="6"/>
        <v>23.984327461014949</v>
      </c>
      <c r="V24" s="343">
        <f t="shared" si="7"/>
        <v>3.1099685476583261E-2</v>
      </c>
      <c r="W24" s="343"/>
      <c r="X24" s="10" t="str">
        <f>name!A21</f>
        <v>Machinery n.e.c.</v>
      </c>
      <c r="Y24" s="10">
        <v>18.304999999993935</v>
      </c>
      <c r="Z24" s="10">
        <v>14.697000000084216</v>
      </c>
      <c r="AA24" s="342">
        <f t="shared" si="8"/>
        <v>-3.607999999909719</v>
      </c>
      <c r="AB24" s="10">
        <v>7.0358293801464313</v>
      </c>
      <c r="AC24" s="342">
        <f t="shared" si="9"/>
        <v>3.4278293802367124</v>
      </c>
      <c r="AD24" s="343">
        <f t="shared" si="10"/>
        <v>2.1919624982336128E-2</v>
      </c>
    </row>
    <row r="25" spans="1:30" x14ac:dyDescent="0.2">
      <c r="A25" s="10" t="str">
        <f>name!D22</f>
        <v>62 Leisure, travel and related personal service occupations</v>
      </c>
      <c r="B25" s="11">
        <f t="shared" si="12"/>
        <v>60.737895765777452</v>
      </c>
      <c r="C25" s="11">
        <f t="shared" si="12"/>
        <v>72.595305939625689</v>
      </c>
      <c r="D25" s="11">
        <f t="shared" si="12"/>
        <v>11.857410173848244</v>
      </c>
      <c r="E25" s="11">
        <f t="shared" si="12"/>
        <v>34.756254496441578</v>
      </c>
      <c r="F25" s="11">
        <f t="shared" si="12"/>
        <v>46.613664670289822</v>
      </c>
      <c r="G25" s="200">
        <f t="shared" si="11"/>
        <v>3.0626096662633495E-2</v>
      </c>
      <c r="H25" s="11"/>
      <c r="I25" s="11" t="str">
        <f t="shared" si="13"/>
        <v>Sales and customer service occupations</v>
      </c>
      <c r="J25" s="11">
        <v>0.62656689095363804</v>
      </c>
      <c r="K25" s="11">
        <v>1.4460502699159066</v>
      </c>
      <c r="L25" s="11">
        <v>0.81948337896226864</v>
      </c>
      <c r="M25" s="11">
        <v>0.48072268185202632</v>
      </c>
      <c r="N25" s="11">
        <v>1.3002060608142951</v>
      </c>
      <c r="O25" s="11"/>
      <c r="P25" s="10" t="str">
        <f>name!D22</f>
        <v>62 Leisure, travel and related personal service occupations</v>
      </c>
      <c r="Q25" s="11">
        <v>18.876929962834836</v>
      </c>
      <c r="R25" s="11">
        <v>23.174193523667064</v>
      </c>
      <c r="S25" s="342">
        <f t="shared" si="5"/>
        <v>4.2972635608322278</v>
      </c>
      <c r="T25" s="342">
        <v>9.2205889718924858</v>
      </c>
      <c r="U25" s="342">
        <f t="shared" si="6"/>
        <v>13.517852532724714</v>
      </c>
      <c r="V25" s="343">
        <f t="shared" si="7"/>
        <v>2.6870727631663094E-2</v>
      </c>
      <c r="W25" s="343"/>
      <c r="X25" s="10" t="str">
        <f>name!A22</f>
        <v>Motor vehicles, etc</v>
      </c>
      <c r="Y25" s="10">
        <v>8.0190000000282851</v>
      </c>
      <c r="Z25" s="10">
        <v>6.8850000000600184</v>
      </c>
      <c r="AA25" s="342">
        <f t="shared" si="8"/>
        <v>-1.1339999999682666</v>
      </c>
      <c r="AB25" s="10">
        <v>3.0456445995993691</v>
      </c>
      <c r="AC25" s="342">
        <f t="shared" si="9"/>
        <v>1.9116445996311024</v>
      </c>
      <c r="AD25" s="343">
        <f t="shared" si="10"/>
        <v>2.1694723178431463E-2</v>
      </c>
    </row>
    <row r="26" spans="1:30" x14ac:dyDescent="0.2">
      <c r="A26" s="10" t="str">
        <f>name!D23</f>
        <v>63 Community and civil enforcement occupations</v>
      </c>
      <c r="B26" s="11">
        <f t="shared" si="12"/>
        <v>2.5974855797045984</v>
      </c>
      <c r="C26" s="11">
        <f t="shared" si="12"/>
        <v>2.1017933821101269</v>
      </c>
      <c r="D26" s="11">
        <f t="shared" si="12"/>
        <v>-0.49569219759447158</v>
      </c>
      <c r="E26" s="11">
        <f t="shared" si="12"/>
        <v>0.96042902903678651</v>
      </c>
      <c r="F26" s="11">
        <f t="shared" si="12"/>
        <v>0.46473683144231503</v>
      </c>
      <c r="G26" s="200">
        <f t="shared" si="11"/>
        <v>2.1196909241836259E-2</v>
      </c>
      <c r="H26" s="11"/>
      <c r="I26" s="11" t="str">
        <f t="shared" si="13"/>
        <v>Process, plant and machine operatives</v>
      </c>
      <c r="J26" s="11">
        <v>0.30980322952296474</v>
      </c>
      <c r="K26" s="11">
        <v>1.109920950431275</v>
      </c>
      <c r="L26" s="11">
        <v>0.80011772090831035</v>
      </c>
      <c r="M26" s="11">
        <v>0.40398109951612549</v>
      </c>
      <c r="N26" s="11">
        <v>1.2040988204244358</v>
      </c>
      <c r="O26" s="11"/>
      <c r="P26" s="10" t="str">
        <f>name!D23</f>
        <v>63 Community and civil enforcement occupations</v>
      </c>
      <c r="Q26" s="11">
        <v>2.0683623969275833</v>
      </c>
      <c r="R26" s="11">
        <v>1.4448210626147993</v>
      </c>
      <c r="S26" s="342">
        <f t="shared" si="5"/>
        <v>-0.62354133431278402</v>
      </c>
      <c r="T26" s="342">
        <v>0.55545539553246137</v>
      </c>
      <c r="U26" s="342">
        <f t="shared" si="6"/>
        <v>-6.8085938780322652E-2</v>
      </c>
      <c r="V26" s="343">
        <f t="shared" si="7"/>
        <v>1.5984625387294615E-2</v>
      </c>
      <c r="W26" s="343"/>
      <c r="X26" s="10" t="str">
        <f>name!A23</f>
        <v>Other transport equipment</v>
      </c>
      <c r="Y26" s="10">
        <v>35.50399999999911</v>
      </c>
      <c r="Z26" s="10">
        <v>36.257000000112583</v>
      </c>
      <c r="AA26" s="342">
        <f t="shared" si="8"/>
        <v>0.75300000011347379</v>
      </c>
      <c r="AB26" s="10">
        <v>13.624261592645011</v>
      </c>
      <c r="AC26" s="342">
        <f t="shared" si="9"/>
        <v>14.377261592758485</v>
      </c>
      <c r="AD26" s="343">
        <f t="shared" si="10"/>
        <v>2.1888725166872902E-2</v>
      </c>
    </row>
    <row r="27" spans="1:30" x14ac:dyDescent="0.2">
      <c r="A27" s="10" t="str">
        <f>name!D24</f>
        <v>71 Sales occupations</v>
      </c>
      <c r="B27" s="11">
        <f t="shared" ref="B27:F33" si="14">SUM(B56,B85,B114,B143,B172,B201,B230,B259,B288)</f>
        <v>205.71646638462889</v>
      </c>
      <c r="C27" s="11">
        <f t="shared" si="14"/>
        <v>183.50111866544387</v>
      </c>
      <c r="D27" s="11">
        <f t="shared" si="14"/>
        <v>-22.215347719184997</v>
      </c>
      <c r="E27" s="11">
        <f t="shared" si="14"/>
        <v>88.980863076751064</v>
      </c>
      <c r="F27" s="11">
        <f t="shared" si="14"/>
        <v>66.765515357566088</v>
      </c>
      <c r="G27" s="200">
        <f t="shared" si="11"/>
        <v>2.4252760166397769E-2</v>
      </c>
      <c r="H27" s="11"/>
      <c r="I27" s="11" t="str">
        <f t="shared" si="13"/>
        <v>Elementary occupations</v>
      </c>
      <c r="J27" s="11">
        <v>0.1776803817979597</v>
      </c>
      <c r="K27" s="11">
        <v>0.43168385789722902</v>
      </c>
      <c r="L27" s="11">
        <v>0.25400347609926932</v>
      </c>
      <c r="M27" s="11">
        <v>0.17338052812018687</v>
      </c>
      <c r="N27" s="11">
        <v>0.42738400421945616</v>
      </c>
      <c r="O27" s="11"/>
      <c r="P27" s="10" t="str">
        <f>name!D24</f>
        <v>71 Sales occupations</v>
      </c>
      <c r="Q27" s="11">
        <v>79.79323529189837</v>
      </c>
      <c r="R27" s="11">
        <v>74.901861463246405</v>
      </c>
      <c r="S27" s="342">
        <f t="shared" si="5"/>
        <v>-4.8913738286519646</v>
      </c>
      <c r="T27" s="342">
        <v>25.40605286699116</v>
      </c>
      <c r="U27" s="342">
        <f t="shared" si="6"/>
        <v>20.514679038339196</v>
      </c>
      <c r="V27" s="343">
        <f t="shared" si="7"/>
        <v>1.859869426567462E-2</v>
      </c>
      <c r="W27" s="343"/>
      <c r="X27" s="10" t="str">
        <f>name!A24</f>
        <v>Furniture</v>
      </c>
      <c r="Y27" s="10">
        <v>6.5540000000360967</v>
      </c>
      <c r="Z27" s="10">
        <v>6.0450000000585122</v>
      </c>
      <c r="AA27" s="342">
        <f t="shared" si="8"/>
        <v>-0.50899999997758449</v>
      </c>
      <c r="AB27" s="10">
        <v>2.5055790616008071</v>
      </c>
      <c r="AC27" s="342">
        <f t="shared" si="9"/>
        <v>1.9965790616232226</v>
      </c>
      <c r="AD27" s="343">
        <f t="shared" si="10"/>
        <v>2.1817741244188005E-2</v>
      </c>
    </row>
    <row r="28" spans="1:30" x14ac:dyDescent="0.2">
      <c r="A28" s="10" t="str">
        <f>name!D25</f>
        <v>72 Customer service occupations</v>
      </c>
      <c r="B28" s="11">
        <f t="shared" si="14"/>
        <v>47.713083005611885</v>
      </c>
      <c r="C28" s="11">
        <f t="shared" si="14"/>
        <v>70.946426583313212</v>
      </c>
      <c r="D28" s="11">
        <f t="shared" si="14"/>
        <v>23.233343577701309</v>
      </c>
      <c r="E28" s="11">
        <f t="shared" si="14"/>
        <v>29.283719178107937</v>
      </c>
      <c r="F28" s="11">
        <f t="shared" si="14"/>
        <v>52.517062755809256</v>
      </c>
      <c r="G28" s="200">
        <f t="shared" si="11"/>
        <v>3.2418268193334265E-2</v>
      </c>
      <c r="H28" s="11"/>
      <c r="O28" s="11"/>
      <c r="P28" s="10" t="str">
        <f>name!D25</f>
        <v>72 Customer service occupations</v>
      </c>
      <c r="Q28" s="11">
        <v>17.595983402738995</v>
      </c>
      <c r="R28" s="11">
        <v>28.999600372833562</v>
      </c>
      <c r="S28" s="342">
        <f t="shared" si="5"/>
        <v>11.403616970094568</v>
      </c>
      <c r="T28" s="342">
        <v>8.75752701483799</v>
      </c>
      <c r="U28" s="342">
        <f t="shared" si="6"/>
        <v>20.161143984932558</v>
      </c>
      <c r="V28" s="343">
        <f t="shared" si="7"/>
        <v>2.7294576551469829E-2</v>
      </c>
      <c r="W28" s="343"/>
      <c r="X28" s="10" t="str">
        <f>name!A25</f>
        <v>Other manufacturing</v>
      </c>
      <c r="Y28" s="10">
        <v>18.57400000002503</v>
      </c>
      <c r="Z28" s="10">
        <v>17.01500000002703</v>
      </c>
      <c r="AA28" s="342">
        <f t="shared" si="8"/>
        <v>-1.5589999999980009</v>
      </c>
      <c r="AB28" s="10">
        <v>7.9962944444069084</v>
      </c>
      <c r="AC28" s="342">
        <f t="shared" si="9"/>
        <v>6.4372944444089075</v>
      </c>
      <c r="AD28" s="343">
        <f t="shared" si="10"/>
        <v>2.4155877560807948E-2</v>
      </c>
    </row>
    <row r="29" spans="1:30" x14ac:dyDescent="0.2">
      <c r="A29" s="10" t="str">
        <f>name!D26</f>
        <v>81 Process, plant and machine operatives</v>
      </c>
      <c r="B29" s="11">
        <f t="shared" si="14"/>
        <v>62.582118755620066</v>
      </c>
      <c r="C29" s="11">
        <f t="shared" si="14"/>
        <v>75.365405072895172</v>
      </c>
      <c r="D29" s="11">
        <f t="shared" si="14"/>
        <v>12.783286317275127</v>
      </c>
      <c r="E29" s="11">
        <f t="shared" si="14"/>
        <v>28.620865787555413</v>
      </c>
      <c r="F29" s="11">
        <f t="shared" si="14"/>
        <v>41.404152104830537</v>
      </c>
      <c r="G29" s="200">
        <f t="shared" si="11"/>
        <v>2.5425042068548009E-2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48.598545951671234</v>
      </c>
      <c r="R29" s="11">
        <v>55.17016510188045</v>
      </c>
      <c r="S29" s="342">
        <f t="shared" si="5"/>
        <v>6.5716191502092158</v>
      </c>
      <c r="T29" s="342">
        <v>19.731932905650218</v>
      </c>
      <c r="U29" s="342">
        <f t="shared" si="6"/>
        <v>26.303552055859434</v>
      </c>
      <c r="V29" s="343">
        <f t="shared" si="7"/>
        <v>2.2977494279397881E-2</v>
      </c>
      <c r="W29" s="343"/>
      <c r="X29" s="10" t="str">
        <f>name!A26</f>
        <v>Repair and installation</v>
      </c>
      <c r="Y29" s="10">
        <v>8.9090000000097156</v>
      </c>
      <c r="Z29" s="10">
        <v>8.374000000027209</v>
      </c>
      <c r="AA29" s="342">
        <f t="shared" si="8"/>
        <v>-0.53499999998250658</v>
      </c>
      <c r="AB29" s="10">
        <v>3.325772218382903</v>
      </c>
      <c r="AC29" s="342">
        <f t="shared" si="9"/>
        <v>2.7907722184003965</v>
      </c>
      <c r="AD29" s="343">
        <f t="shared" si="10"/>
        <v>2.1373208981505076E-2</v>
      </c>
    </row>
    <row r="30" spans="1:30" x14ac:dyDescent="0.2">
      <c r="A30" s="10" t="str">
        <f>name!D27</f>
        <v>82 Transport and mobile machine drivers and operatives</v>
      </c>
      <c r="B30" s="11">
        <f t="shared" si="14"/>
        <v>82.15364325339732</v>
      </c>
      <c r="C30" s="11">
        <f t="shared" si="14"/>
        <v>90.140369989187136</v>
      </c>
      <c r="D30" s="11">
        <f t="shared" si="14"/>
        <v>7.986726735789806</v>
      </c>
      <c r="E30" s="11">
        <f t="shared" si="14"/>
        <v>46.726470781519929</v>
      </c>
      <c r="F30" s="11">
        <f t="shared" si="14"/>
        <v>54.713197517309737</v>
      </c>
      <c r="G30" s="200">
        <f t="shared" si="11"/>
        <v>3.0474554601112924E-2</v>
      </c>
      <c r="H30" s="11"/>
      <c r="I30" s="11" t="str">
        <f>I19</f>
        <v>Managers, directors and senior officials</v>
      </c>
      <c r="J30" s="11">
        <f t="array" ref="J30:J38">MMULT(aggregation!$B$38:$AA$46,B65:B90)</f>
        <v>40.366603491155196</v>
      </c>
      <c r="K30" s="11">
        <f t="array" ref="K30:K38">MMULT(aggregation!$B$38:$AA$46,C65:C90)</f>
        <v>84.52711252591493</v>
      </c>
      <c r="L30" s="11">
        <f t="array" ref="L30:L38">MMULT(aggregation!$B$38:$AA$46,D65:D90)</f>
        <v>44.160509034759734</v>
      </c>
      <c r="M30" s="11">
        <f t="array" ref="M30:M38">MMULT(aggregation!$B$38:$AA$46,E65:E90)</f>
        <v>34.042769253299262</v>
      </c>
      <c r="N30" s="11">
        <f t="array" ref="N30:N38">MMULT(aggregation!$B$38:$AA$46,F65:F90)</f>
        <v>78.203278288058996</v>
      </c>
      <c r="O30" s="11"/>
      <c r="P30" s="10" t="str">
        <f>name!D27</f>
        <v>82 Transport and mobile machine drivers and operatives</v>
      </c>
      <c r="Q30" s="11">
        <v>75.264032842464331</v>
      </c>
      <c r="R30" s="11">
        <v>79.085334594111487</v>
      </c>
      <c r="S30" s="342">
        <f t="shared" si="5"/>
        <v>3.8213017516471552</v>
      </c>
      <c r="T30" s="342">
        <v>40.537717500947636</v>
      </c>
      <c r="U30" s="342">
        <f t="shared" si="6"/>
        <v>44.359019252594791</v>
      </c>
      <c r="V30" s="343">
        <f t="shared" si="7"/>
        <v>2.9141700193269227E-2</v>
      </c>
      <c r="W30" s="343"/>
      <c r="X30" s="10" t="str">
        <f>name!A27</f>
        <v>Electricity, gas, etc</v>
      </c>
      <c r="Y30" s="10">
        <v>15.351999999954746</v>
      </c>
      <c r="Z30" s="10">
        <v>14.067999999897655</v>
      </c>
      <c r="AA30" s="342">
        <f t="shared" si="8"/>
        <v>-1.284000000057091</v>
      </c>
      <c r="AB30" s="10">
        <v>6.0022742356569889</v>
      </c>
      <c r="AC30" s="342">
        <f t="shared" si="9"/>
        <v>4.7182742355998979</v>
      </c>
      <c r="AD30" s="343">
        <f t="shared" si="10"/>
        <v>2.2244204225934761E-2</v>
      </c>
    </row>
    <row r="31" spans="1:30" x14ac:dyDescent="0.2">
      <c r="A31" s="10" t="str">
        <f>name!D28</f>
        <v>91 Elementary trades and related occupations</v>
      </c>
      <c r="B31" s="11">
        <f t="shared" si="14"/>
        <v>41.169715797010575</v>
      </c>
      <c r="C31" s="11">
        <f t="shared" si="14"/>
        <v>36.262160530620029</v>
      </c>
      <c r="D31" s="11">
        <f t="shared" si="14"/>
        <v>-4.9075552663905446</v>
      </c>
      <c r="E31" s="11">
        <f t="shared" si="14"/>
        <v>14.390062072823035</v>
      </c>
      <c r="F31" s="11">
        <f t="shared" si="14"/>
        <v>9.4825068064324896</v>
      </c>
      <c r="G31" s="200">
        <f t="shared" si="11"/>
        <v>2.0184784827131264E-2</v>
      </c>
      <c r="H31" s="11"/>
      <c r="I31" s="11" t="str">
        <f>I20</f>
        <v>Professional occupations</v>
      </c>
      <c r="J31" s="11">
        <v>181.25136044005524</v>
      </c>
      <c r="K31" s="11">
        <v>320.57593296772416</v>
      </c>
      <c r="L31" s="11">
        <v>139.32457252766886</v>
      </c>
      <c r="M31" s="11">
        <v>122.63279730126705</v>
      </c>
      <c r="N31" s="11">
        <v>261.95736982893595</v>
      </c>
      <c r="O31" s="11"/>
      <c r="P31" s="10" t="str">
        <f>name!D28</f>
        <v>91 Elementary trades and related occupations</v>
      </c>
      <c r="Q31" s="11">
        <v>31.028087080946303</v>
      </c>
      <c r="R31" s="11">
        <v>26.858314047210502</v>
      </c>
      <c r="S31" s="342">
        <f t="shared" si="5"/>
        <v>-4.169773033735801</v>
      </c>
      <c r="T31" s="342">
        <v>8.8067535680205609</v>
      </c>
      <c r="U31" s="342">
        <f t="shared" si="6"/>
        <v>4.6369805342847599</v>
      </c>
      <c r="V31" s="343">
        <f t="shared" si="7"/>
        <v>1.6796100918287538E-2</v>
      </c>
      <c r="W31" s="343"/>
      <c r="X31" s="10" t="str">
        <f>name!A28</f>
        <v>Water</v>
      </c>
      <c r="Y31" s="10">
        <v>6.1319999999932779</v>
      </c>
      <c r="Z31" s="10">
        <v>7.0769999999936024</v>
      </c>
      <c r="AA31" s="342">
        <f t="shared" si="8"/>
        <v>0.94500000000032447</v>
      </c>
      <c r="AB31" s="10">
        <v>2.7315109531232404</v>
      </c>
      <c r="AC31" s="342">
        <f t="shared" si="9"/>
        <v>3.6765109531235649</v>
      </c>
      <c r="AD31" s="343">
        <f t="shared" si="10"/>
        <v>2.4865583915687051E-2</v>
      </c>
    </row>
    <row r="32" spans="1:30" x14ac:dyDescent="0.2">
      <c r="A32" s="10" t="str">
        <f>name!D29</f>
        <v>92 Elementary administration and service occupations</v>
      </c>
      <c r="B32" s="11">
        <f t="shared" si="14"/>
        <v>255.12733961802348</v>
      </c>
      <c r="C32" s="11">
        <f t="shared" si="14"/>
        <v>263.59541453038594</v>
      </c>
      <c r="D32" s="11">
        <f t="shared" si="14"/>
        <v>8.4680749123624626</v>
      </c>
      <c r="E32" s="11">
        <f t="shared" si="14"/>
        <v>128.05821043939147</v>
      </c>
      <c r="F32" s="11">
        <f t="shared" si="14"/>
        <v>136.52628535175393</v>
      </c>
      <c r="G32" s="200">
        <f t="shared" ref="G32" si="15">IF(B32&gt;0,(1+(E32/B32))^(1/($C$6-$B$6))-1,0)</f>
        <v>2.7488117673614143E-2</v>
      </c>
      <c r="H32" s="11"/>
      <c r="I32" s="11" t="str">
        <f>I21</f>
        <v>Associate professional occupations</v>
      </c>
      <c r="J32" s="11">
        <v>52.624374805574135</v>
      </c>
      <c r="K32" s="11">
        <v>100.61087759112678</v>
      </c>
      <c r="L32" s="11">
        <v>47.986502785552645</v>
      </c>
      <c r="M32" s="11">
        <v>37.742106628644173</v>
      </c>
      <c r="N32" s="11">
        <v>85.728609414196825</v>
      </c>
      <c r="O32" s="11"/>
      <c r="P32" s="10" t="str">
        <f>name!D29</f>
        <v>92 Elementary administration and service occupations</v>
      </c>
      <c r="Q32" s="11">
        <v>124.72453323532648</v>
      </c>
      <c r="R32" s="11">
        <v>129.73042974307211</v>
      </c>
      <c r="S32" s="342">
        <f t="shared" ref="S32" si="16">R32-Q32</f>
        <v>5.0058965077456321</v>
      </c>
      <c r="T32" s="342">
        <v>51.949435863842098</v>
      </c>
      <c r="U32" s="342">
        <f>SUM(S32:T32)</f>
        <v>56.95533237158773</v>
      </c>
      <c r="V32" s="343">
        <f>IF(Q32&gt;0,(1+(T32/Q32))^(1/($C$6-$B$6))-1,0)</f>
        <v>2.3484755993286477E-2</v>
      </c>
      <c r="W32" s="343"/>
      <c r="X32" s="10" t="str">
        <f>name!A29</f>
        <v>Sewerage</v>
      </c>
      <c r="Y32" s="10">
        <v>2.3990000000245932</v>
      </c>
      <c r="Z32" s="10">
        <v>2.7270000000453503</v>
      </c>
      <c r="AA32" s="342">
        <f t="shared" si="8"/>
        <v>0.32800000002075702</v>
      </c>
      <c r="AB32" s="10">
        <v>1.119990242447233</v>
      </c>
      <c r="AC32" s="342">
        <f t="shared" si="9"/>
        <v>1.44799024246799</v>
      </c>
      <c r="AD32" s="343">
        <f t="shared" si="10"/>
        <v>2.5870451768575942E-2</v>
      </c>
    </row>
    <row r="33" spans="1:30" x14ac:dyDescent="0.2">
      <c r="A33" t="str">
        <f>name!D3</f>
        <v>All occupations</v>
      </c>
      <c r="B33" s="11">
        <f t="shared" si="14"/>
        <v>2929.5869999964652</v>
      </c>
      <c r="C33" s="11">
        <f t="shared" si="14"/>
        <v>3240.0929999972932</v>
      </c>
      <c r="D33" s="11">
        <f t="shared" si="14"/>
        <v>310.50600000082784</v>
      </c>
      <c r="E33" s="11">
        <f t="shared" si="14"/>
        <v>1498.7302638611784</v>
      </c>
      <c r="F33" s="11">
        <f t="shared" si="14"/>
        <v>1809.2362638620073</v>
      </c>
      <c r="G33" s="200">
        <f t="shared" si="11"/>
        <v>2.7926719836061098E-2</v>
      </c>
      <c r="H33" s="11"/>
      <c r="I33" s="11" t="str">
        <f>I22</f>
        <v>Administrative and secretarial occupations</v>
      </c>
      <c r="J33" s="11">
        <v>19.071682102055888</v>
      </c>
      <c r="K33" s="11">
        <v>39.906155071520551</v>
      </c>
      <c r="L33" s="11">
        <v>20.834472969464663</v>
      </c>
      <c r="M33" s="11">
        <v>16.485998528088079</v>
      </c>
      <c r="N33" s="11">
        <v>37.320471497552745</v>
      </c>
      <c r="O33" s="11"/>
      <c r="P33" s="10" t="str">
        <f>name!D3</f>
        <v>All occupations</v>
      </c>
      <c r="Q33" s="11">
        <f>SUM(Q7:Q32)</f>
        <v>1491.5389999983781</v>
      </c>
      <c r="R33" s="11">
        <f>SUM(R7:R32)</f>
        <v>1623.9979999964846</v>
      </c>
      <c r="S33" s="342">
        <f>R33-Q33</f>
        <v>132.45899999810649</v>
      </c>
      <c r="T33" s="11">
        <f>SUM(T7:T32)</f>
        <v>631.18212834416317</v>
      </c>
      <c r="U33" s="342">
        <f>SUM(S33:T33)</f>
        <v>763.64112834226967</v>
      </c>
      <c r="V33" s="343">
        <f t="shared" si="7"/>
        <v>2.3804942803563156E-2</v>
      </c>
      <c r="W33" s="11"/>
      <c r="X33" s="10" t="str">
        <f>name!A30</f>
        <v>Waste management</v>
      </c>
      <c r="Y33" s="10">
        <v>12.883000000064664</v>
      </c>
      <c r="Z33" s="10">
        <v>14.914000000171928</v>
      </c>
      <c r="AA33" s="342">
        <f t="shared" si="8"/>
        <v>2.0310000001072641</v>
      </c>
      <c r="AB33" s="10">
        <v>6.26752609874291</v>
      </c>
      <c r="AC33" s="342">
        <f t="shared" si="9"/>
        <v>8.298526098850175</v>
      </c>
      <c r="AD33" s="343">
        <f t="shared" si="10"/>
        <v>2.6780424226449551E-2</v>
      </c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5.8466580016050944</v>
      </c>
      <c r="K34" s="11">
        <v>16.123723421743229</v>
      </c>
      <c r="L34" s="11">
        <v>10.277065420138134</v>
      </c>
      <c r="M34" s="11">
        <v>5.8368231841264953</v>
      </c>
      <c r="N34" s="11">
        <v>16.113888604264631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82.215999999630441</v>
      </c>
      <c r="Z34" s="10">
        <v>98.774999998868438</v>
      </c>
      <c r="AA34" s="342">
        <f t="shared" si="8"/>
        <v>16.558999999237997</v>
      </c>
      <c r="AB34" s="10">
        <v>38.614248738031371</v>
      </c>
      <c r="AC34" s="342">
        <f t="shared" si="9"/>
        <v>55.173248737269368</v>
      </c>
      <c r="AD34" s="343">
        <f t="shared" si="10"/>
        <v>2.6001403983842319E-2</v>
      </c>
    </row>
    <row r="35" spans="1:30" ht="38.25" x14ac:dyDescent="0.2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10.292358494619412</v>
      </c>
      <c r="K35" s="11">
        <v>25.072799847223905</v>
      </c>
      <c r="L35" s="11">
        <v>14.780441352604493</v>
      </c>
      <c r="M35" s="11">
        <v>10.527277369472735</v>
      </c>
      <c r="N35" s="11">
        <v>25.30771872207723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22.202999999898392</v>
      </c>
      <c r="Z35" s="10">
        <v>26.714999999617589</v>
      </c>
      <c r="AA35" s="342">
        <f t="shared" si="8"/>
        <v>4.5119999997191975</v>
      </c>
      <c r="AB35" s="10">
        <v>10.007362414650148</v>
      </c>
      <c r="AC35" s="342">
        <f t="shared" si="9"/>
        <v>14.519362414369345</v>
      </c>
      <c r="AD35" s="343">
        <f t="shared" si="10"/>
        <v>2.5114233127681906E-2</v>
      </c>
    </row>
    <row r="36" spans="1:30" ht="12.75" customHeight="1" x14ac:dyDescent="0.2">
      <c r="A36" t="str">
        <f t="shared" ref="A36:A62" si="20">A7</f>
        <v>11 Corporate managers and directors</v>
      </c>
      <c r="B36" s="11">
        <v>3.4861988566076163</v>
      </c>
      <c r="C36" s="11">
        <v>6.757719246806281</v>
      </c>
      <c r="D36" s="11">
        <f>C36-B36</f>
        <v>3.2715203901986647</v>
      </c>
      <c r="E36" s="11">
        <v>2.548942869763021</v>
      </c>
      <c r="F36" s="11">
        <f>SUM(D36:E36)</f>
        <v>5.8204632599616861</v>
      </c>
      <c r="G36" s="200">
        <f>IF(B36&gt;0,(1+(E36/B36))^(1/($C$6-$B$6))-1,0)</f>
        <v>3.7263321491486368E-2</v>
      </c>
      <c r="I36" s="11" t="str">
        <f t="shared" si="18"/>
        <v>Sales and customer service occupations</v>
      </c>
      <c r="J36" s="11">
        <v>8.8474302474680186</v>
      </c>
      <c r="K36" s="11">
        <v>21.837836350932477</v>
      </c>
      <c r="L36" s="11">
        <v>12.99040610346446</v>
      </c>
      <c r="M36" s="11">
        <v>7.2964847158387585</v>
      </c>
      <c r="N36" s="11">
        <v>20.28689081930322</v>
      </c>
      <c r="P36" s="10" t="str">
        <f>name!D4</f>
        <v>11 Corporate managers and directors</v>
      </c>
      <c r="Q36" s="11">
        <v>73.146464587809945</v>
      </c>
      <c r="R36" s="11">
        <v>85.279452118268068</v>
      </c>
      <c r="S36" s="342">
        <f>R36-Q36</f>
        <v>12.132987530458124</v>
      </c>
      <c r="T36" s="342">
        <v>45.093648520961374</v>
      </c>
      <c r="U36" s="342">
        <f>SUM(S36:T36)</f>
        <v>57.226636051419497</v>
      </c>
      <c r="V36" s="343">
        <f>IF(Q36&gt;0,(1+(T36/Q36))^(1/($C$6-$B$6))-1,0)</f>
        <v>3.2534963155314678E-2</v>
      </c>
      <c r="W36" s="343"/>
      <c r="X36" s="10" t="str">
        <f>name!A33</f>
        <v>Specialised construction</v>
      </c>
      <c r="Y36" s="10">
        <v>120.11799999940141</v>
      </c>
      <c r="Z36" s="10">
        <v>144.21699999791284</v>
      </c>
      <c r="AA36" s="342">
        <f t="shared" si="8"/>
        <v>24.098999998511431</v>
      </c>
      <c r="AB36" s="10">
        <v>55.164653516198086</v>
      </c>
      <c r="AC36" s="342">
        <f t="shared" si="9"/>
        <v>79.263653514709517</v>
      </c>
      <c r="AD36" s="343">
        <f t="shared" si="10"/>
        <v>2.5515092940650019E-2</v>
      </c>
    </row>
    <row r="37" spans="1:30" x14ac:dyDescent="0.2">
      <c r="A37" t="str">
        <f t="shared" si="20"/>
        <v>12 Other managers and proprietors</v>
      </c>
      <c r="B37" s="11">
        <v>1.423788679032213</v>
      </c>
      <c r="C37" s="11">
        <v>4.0537619579914725</v>
      </c>
      <c r="D37" s="11">
        <f t="shared" ref="D37:D60" si="21">C37-B37</f>
        <v>2.6299732789592598</v>
      </c>
      <c r="E37" s="11">
        <v>1.6954175190683693</v>
      </c>
      <c r="F37" s="11">
        <f t="shared" ref="F37:F57" si="22">SUM(D37:E37)</f>
        <v>4.3253907980276294</v>
      </c>
      <c r="G37" s="200">
        <f t="shared" ref="G37:G62" si="23">IF(B37&gt;0,(1+(E37/B37))^(1/($C$6-$B$6))-1,0)</f>
        <v>5.3674743042958495E-2</v>
      </c>
      <c r="I37" s="11" t="str">
        <f t="shared" si="18"/>
        <v>Process, plant and machine operatives</v>
      </c>
      <c r="J37" s="11">
        <v>2.5843753448763969</v>
      </c>
      <c r="K37" s="11">
        <v>7.6468494693054048</v>
      </c>
      <c r="L37" s="11">
        <v>5.0624741244290075</v>
      </c>
      <c r="M37" s="11">
        <v>2.8433720568510195</v>
      </c>
      <c r="N37" s="11">
        <v>7.9058461812800269</v>
      </c>
      <c r="P37" s="10" t="str">
        <f>name!D5</f>
        <v>12 Other managers and proprietors</v>
      </c>
      <c r="Q37" s="11">
        <v>48.350476557007639</v>
      </c>
      <c r="R37" s="11">
        <v>63.712606721098055</v>
      </c>
      <c r="S37" s="342">
        <f t="shared" ref="S37:S60" si="24">R37-Q37</f>
        <v>15.362130164090416</v>
      </c>
      <c r="T37" s="342">
        <v>37.974283492730194</v>
      </c>
      <c r="U37" s="342">
        <f t="shared" ref="U37:U60" si="25">SUM(S37:T37)</f>
        <v>53.336413656820611</v>
      </c>
      <c r="V37" s="343">
        <f t="shared" ref="V37:V60" si="26">IF(Q37&gt;0,(1+(T37/Q37))^(1/($C$6-$B$6))-1,0)</f>
        <v>3.9399032078050622E-2</v>
      </c>
      <c r="W37" s="343"/>
      <c r="X37" s="10" t="str">
        <f>name!A34</f>
        <v>Motor vehicle trade</v>
      </c>
      <c r="Y37" s="10">
        <v>57.714000000599043</v>
      </c>
      <c r="Z37" s="10">
        <v>60.151000000541508</v>
      </c>
      <c r="AA37" s="342">
        <f t="shared" si="8"/>
        <v>2.436999999942465</v>
      </c>
      <c r="AB37" s="10">
        <v>23.926697063630545</v>
      </c>
      <c r="AC37" s="342">
        <f t="shared" si="9"/>
        <v>26.36369706357301</v>
      </c>
      <c r="AD37" s="343">
        <f t="shared" si="10"/>
        <v>2.3391255898424834E-2</v>
      </c>
    </row>
    <row r="38" spans="1:30" x14ac:dyDescent="0.2">
      <c r="A38" t="str">
        <f t="shared" si="20"/>
        <v>21 Science, research, engineering and technology professionals</v>
      </c>
      <c r="B38" s="11">
        <v>8.5354572877533688</v>
      </c>
      <c r="C38" s="11">
        <v>16.029538492479361</v>
      </c>
      <c r="D38" s="11">
        <f t="shared" si="21"/>
        <v>7.4940812047259922</v>
      </c>
      <c r="E38" s="11">
        <v>4.5653695750930083</v>
      </c>
      <c r="F38" s="11">
        <f t="shared" si="22"/>
        <v>12.059450779819</v>
      </c>
      <c r="G38" s="200">
        <f t="shared" si="23"/>
        <v>2.8974931257363945E-2</v>
      </c>
      <c r="I38" s="11" t="str">
        <f t="shared" si="18"/>
        <v>Elementary occupations</v>
      </c>
      <c r="J38" s="11">
        <v>7.0705825659037922</v>
      </c>
      <c r="K38" s="11">
        <v>20.686419986189577</v>
      </c>
      <c r="L38" s="11">
        <v>13.615837420285784</v>
      </c>
      <c r="M38" s="11">
        <v>7.6138055637377899</v>
      </c>
      <c r="N38" s="11">
        <v>21.229642984023574</v>
      </c>
      <c r="P38" s="10" t="str">
        <f>name!D6</f>
        <v>21 Science, research, engineering and technology professionals</v>
      </c>
      <c r="Q38" s="11">
        <v>37.183045376720479</v>
      </c>
      <c r="R38" s="11">
        <v>54.085559131943619</v>
      </c>
      <c r="S38" s="342">
        <f t="shared" si="24"/>
        <v>16.90251375522314</v>
      </c>
      <c r="T38" s="342">
        <v>23.976041462344135</v>
      </c>
      <c r="U38" s="342">
        <f t="shared" si="25"/>
        <v>40.878555217567275</v>
      </c>
      <c r="V38" s="343">
        <f t="shared" si="26"/>
        <v>3.3731465165281582E-2</v>
      </c>
      <c r="W38" s="343"/>
      <c r="X38" s="10" t="str">
        <f>name!A35</f>
        <v>Wholesale trade</v>
      </c>
      <c r="Y38" s="10">
        <v>91.095000000801463</v>
      </c>
      <c r="Z38" s="10">
        <v>89.933000000376538</v>
      </c>
      <c r="AA38" s="342">
        <f t="shared" si="8"/>
        <v>-1.1620000004249249</v>
      </c>
      <c r="AB38" s="10">
        <v>39.714347138144504</v>
      </c>
      <c r="AC38" s="342">
        <f t="shared" si="9"/>
        <v>38.552347137719579</v>
      </c>
      <c r="AD38" s="343">
        <f t="shared" si="10"/>
        <v>2.4415833904511075E-2</v>
      </c>
    </row>
    <row r="39" spans="1:30" x14ac:dyDescent="0.2">
      <c r="A39" t="str">
        <f t="shared" si="20"/>
        <v>22 Health professionals</v>
      </c>
      <c r="B39" s="11">
        <v>9.4652843719364164</v>
      </c>
      <c r="C39" s="11">
        <v>20.390023359581313</v>
      </c>
      <c r="D39" s="11">
        <f t="shared" si="21"/>
        <v>10.924738987644897</v>
      </c>
      <c r="E39" s="11">
        <v>7.2797324866314792</v>
      </c>
      <c r="F39" s="11">
        <f t="shared" si="22"/>
        <v>18.204471474276374</v>
      </c>
      <c r="G39" s="200">
        <f t="shared" si="23"/>
        <v>3.8763772283833875E-2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97.094949349909626</v>
      </c>
      <c r="R39" s="11">
        <v>125.03878294537533</v>
      </c>
      <c r="S39" s="342">
        <f t="shared" si="24"/>
        <v>27.943833595465705</v>
      </c>
      <c r="T39" s="342">
        <v>66.176906666259498</v>
      </c>
      <c r="U39" s="342">
        <f t="shared" si="25"/>
        <v>94.120740261725203</v>
      </c>
      <c r="V39" s="343">
        <f t="shared" si="26"/>
        <v>3.525573731495002E-2</v>
      </c>
      <c r="W39" s="343"/>
      <c r="X39" s="10" t="str">
        <f>name!A36</f>
        <v>Retail trade</v>
      </c>
      <c r="Y39" s="10">
        <v>286.04000000611398</v>
      </c>
      <c r="Z39" s="10">
        <v>289.41900000020865</v>
      </c>
      <c r="AA39" s="342">
        <f t="shared" si="8"/>
        <v>3.37899999409467</v>
      </c>
      <c r="AB39" s="10">
        <v>136.23384011507142</v>
      </c>
      <c r="AC39" s="342">
        <f t="shared" si="9"/>
        <v>139.61284010916609</v>
      </c>
      <c r="AD39" s="343">
        <f t="shared" si="10"/>
        <v>2.6308267056321943E-2</v>
      </c>
    </row>
    <row r="40" spans="1:30" x14ac:dyDescent="0.2">
      <c r="A40" t="str">
        <f t="shared" si="20"/>
        <v>23 Teaching and other educational professionals</v>
      </c>
      <c r="B40" s="11">
        <v>12.841422880824185</v>
      </c>
      <c r="C40" s="11">
        <v>19.325941898719478</v>
      </c>
      <c r="D40" s="11">
        <f>C40-B40</f>
        <v>6.4845190178952929</v>
      </c>
      <c r="E40" s="11">
        <v>8.1627140117883492</v>
      </c>
      <c r="F40" s="11">
        <f>SUM(D40:E40)</f>
        <v>14.647233029683642</v>
      </c>
      <c r="G40" s="200">
        <f>IF(B40&gt;0,(1+(E40/B40))^(1/($C$6-$B$6))-1,0)</f>
        <v>3.3346833058902625E-2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100.52070266030438</v>
      </c>
      <c r="R40" s="11">
        <v>116.39964839316906</v>
      </c>
      <c r="S40" s="342">
        <f t="shared" si="24"/>
        <v>15.878945732864679</v>
      </c>
      <c r="T40" s="342">
        <v>59.619258544027254</v>
      </c>
      <c r="U40" s="342">
        <f t="shared" si="25"/>
        <v>75.498204276891926</v>
      </c>
      <c r="V40" s="343">
        <f t="shared" si="26"/>
        <v>3.1532574221283083E-2</v>
      </c>
      <c r="W40" s="343"/>
      <c r="X40" s="10" t="str">
        <f>name!A37</f>
        <v>Land transport, etc</v>
      </c>
      <c r="Y40" s="10">
        <v>48.142000000706403</v>
      </c>
      <c r="Z40" s="10">
        <v>47.586000001065436</v>
      </c>
      <c r="AA40" s="342">
        <f t="shared" si="8"/>
        <v>-0.55599999964096725</v>
      </c>
      <c r="AB40" s="10">
        <v>22.980296071994854</v>
      </c>
      <c r="AC40" s="342">
        <f t="shared" si="9"/>
        <v>22.424296072353886</v>
      </c>
      <c r="AD40" s="343">
        <f t="shared" si="10"/>
        <v>2.6357773635583115E-2</v>
      </c>
    </row>
    <row r="41" spans="1:30" x14ac:dyDescent="0.2">
      <c r="A41" t="str">
        <f t="shared" si="20"/>
        <v>24 Business, media and public service professionals</v>
      </c>
      <c r="B41" s="11">
        <v>3.3501131993732312</v>
      </c>
      <c r="C41" s="11">
        <v>7.5434925647323192</v>
      </c>
      <c r="D41" s="11">
        <f t="shared" si="21"/>
        <v>4.1933793653590881</v>
      </c>
      <c r="E41" s="11">
        <v>2.6047215565568655</v>
      </c>
      <c r="F41" s="11">
        <f t="shared" si="22"/>
        <v>6.7981009219159532</v>
      </c>
      <c r="G41" s="200">
        <f t="shared" si="23"/>
        <v>3.9092034245408636E-2</v>
      </c>
      <c r="I41" s="11" t="str">
        <f>I30</f>
        <v>Managers, directors and senior officials</v>
      </c>
      <c r="J41" s="11">
        <f t="array" ref="J41:J49">MMULT(aggregation!$B$38:$AA$46,B94:B119)</f>
        <v>85.604900855177377</v>
      </c>
      <c r="K41" s="11">
        <f t="array" ref="K41:K49">MMULT(aggregation!$B$38:$AA$46,C94:C119)</f>
        <v>109.9945400799725</v>
      </c>
      <c r="L41" s="11">
        <f t="array" ref="L41:L49">MMULT(aggregation!$B$38:$AA$46,D94:D119)</f>
        <v>24.389639224795111</v>
      </c>
      <c r="M41" s="11">
        <f t="array" ref="M41:M49">MMULT(aggregation!$B$38:$AA$46,E94:E119)</f>
        <v>62.116476355583238</v>
      </c>
      <c r="N41" s="11">
        <f t="array" ref="N41:N49">MMULT(aggregation!$B$38:$AA$46,F94:F119)</f>
        <v>86.506115580378349</v>
      </c>
      <c r="P41" s="10" t="str">
        <f>name!D9</f>
        <v>24 Business, media and public service professionals</v>
      </c>
      <c r="Q41" s="11">
        <v>85.085287255673222</v>
      </c>
      <c r="R41" s="11">
        <v>112.82857621882259</v>
      </c>
      <c r="S41" s="342">
        <f t="shared" si="24"/>
        <v>27.743288963149368</v>
      </c>
      <c r="T41" s="342">
        <v>54.818429100620236</v>
      </c>
      <c r="U41" s="342">
        <f t="shared" si="25"/>
        <v>82.561718063769604</v>
      </c>
      <c r="V41" s="343">
        <f t="shared" si="26"/>
        <v>3.3709050695804432E-2</v>
      </c>
      <c r="W41" s="343"/>
      <c r="X41" s="10" t="str">
        <f>name!A38</f>
        <v>Water transport</v>
      </c>
      <c r="Y41" s="10">
        <v>0.65000000000326141</v>
      </c>
      <c r="Z41" s="10">
        <v>0.46399999999930663</v>
      </c>
      <c r="AA41" s="342">
        <f t="shared" si="8"/>
        <v>-0.18600000000395478</v>
      </c>
      <c r="AB41" s="10">
        <v>0.23774750155142421</v>
      </c>
      <c r="AC41" s="342">
        <f t="shared" si="9"/>
        <v>5.1747501547469432E-2</v>
      </c>
      <c r="AD41" s="343">
        <f t="shared" si="10"/>
        <v>2.0998428126087321E-2</v>
      </c>
    </row>
    <row r="42" spans="1:30" x14ac:dyDescent="0.2">
      <c r="A42" t="str">
        <f t="shared" si="20"/>
        <v>31 Science, engineering and technology associate professionals</v>
      </c>
      <c r="B42" s="11">
        <v>1.3141871099797917</v>
      </c>
      <c r="C42" s="11">
        <v>2.5148108369138602</v>
      </c>
      <c r="D42" s="11">
        <f t="shared" si="21"/>
        <v>1.2006237269340685</v>
      </c>
      <c r="E42" s="11">
        <v>0.83860806581764147</v>
      </c>
      <c r="F42" s="11">
        <f t="shared" si="22"/>
        <v>2.0392317927517101</v>
      </c>
      <c r="G42" s="200">
        <f t="shared" si="23"/>
        <v>3.3450549604417956E-2</v>
      </c>
      <c r="I42" s="11" t="str">
        <f>I31</f>
        <v>Professional occupations</v>
      </c>
      <c r="J42" s="11">
        <v>210.95078511689383</v>
      </c>
      <c r="K42" s="11">
        <v>228.23535022859653</v>
      </c>
      <c r="L42" s="11">
        <v>17.284565111702701</v>
      </c>
      <c r="M42" s="11">
        <v>115.54507193363176</v>
      </c>
      <c r="N42" s="11">
        <v>132.82963704533447</v>
      </c>
      <c r="P42" s="10" t="str">
        <f>name!D10</f>
        <v>31 Science, engineering and technology associate professionals</v>
      </c>
      <c r="Q42" s="11">
        <v>16.091198881368872</v>
      </c>
      <c r="R42" s="11">
        <v>19.902814229929881</v>
      </c>
      <c r="S42" s="342">
        <f t="shared" si="24"/>
        <v>3.8116153485610091</v>
      </c>
      <c r="T42" s="342">
        <v>8.9205221761743534</v>
      </c>
      <c r="U42" s="342">
        <f t="shared" si="25"/>
        <v>12.732137524735363</v>
      </c>
      <c r="V42" s="343">
        <f t="shared" si="26"/>
        <v>2.9841395953817518E-2</v>
      </c>
      <c r="W42" s="343"/>
      <c r="X42" s="10" t="str">
        <f>name!A39</f>
        <v>Air transport</v>
      </c>
      <c r="Y42" s="10">
        <v>2.5970000000100137</v>
      </c>
      <c r="Z42" s="10">
        <v>3.6039999999871228</v>
      </c>
      <c r="AA42" s="342">
        <f t="shared" si="8"/>
        <v>1.0069999999771091</v>
      </c>
      <c r="AB42" s="10">
        <v>1.4716199728681034</v>
      </c>
      <c r="AC42" s="342">
        <f t="shared" si="9"/>
        <v>2.4786199728452125</v>
      </c>
      <c r="AD42" s="343">
        <f t="shared" si="10"/>
        <v>3.0382194206406199E-2</v>
      </c>
    </row>
    <row r="43" spans="1:30" x14ac:dyDescent="0.2">
      <c r="A43" t="str">
        <f t="shared" si="20"/>
        <v>32 Health and social care associate professionals</v>
      </c>
      <c r="B43" s="11">
        <v>0.28687145918484741</v>
      </c>
      <c r="C43" s="11">
        <v>0.71925240460448769</v>
      </c>
      <c r="D43" s="11">
        <f t="shared" si="21"/>
        <v>0.43238094541964028</v>
      </c>
      <c r="E43" s="11">
        <v>0.29095961776701623</v>
      </c>
      <c r="F43" s="11">
        <f t="shared" si="22"/>
        <v>0.72334056318665652</v>
      </c>
      <c r="G43" s="200">
        <f t="shared" si="23"/>
        <v>4.778997006224972E-2</v>
      </c>
      <c r="I43" s="11" t="str">
        <f>I32</f>
        <v>Associate professional occupations</v>
      </c>
      <c r="J43" s="11">
        <v>104.32256009341306</v>
      </c>
      <c r="K43" s="11">
        <v>122.65922811039579</v>
      </c>
      <c r="L43" s="11">
        <v>18.336668016982735</v>
      </c>
      <c r="M43" s="11">
        <v>60.728247588384377</v>
      </c>
      <c r="N43" s="11">
        <v>79.064915605367119</v>
      </c>
      <c r="P43" s="10" t="str">
        <f>name!D11</f>
        <v>32 Health and social care associate professionals</v>
      </c>
      <c r="Q43" s="11">
        <v>45.491347253591869</v>
      </c>
      <c r="R43" s="11">
        <v>55.908154095853853</v>
      </c>
      <c r="S43" s="342">
        <f t="shared" si="24"/>
        <v>10.416806842261984</v>
      </c>
      <c r="T43" s="342">
        <v>30.03395497036934</v>
      </c>
      <c r="U43" s="342">
        <f t="shared" si="25"/>
        <v>40.450761812631328</v>
      </c>
      <c r="V43" s="343">
        <f t="shared" si="26"/>
        <v>3.4373958559720696E-2</v>
      </c>
      <c r="W43" s="343"/>
      <c r="X43" s="10" t="str">
        <f>name!A40</f>
        <v>Warehousing, etc</v>
      </c>
      <c r="Y43" s="10">
        <v>33.741000000297284</v>
      </c>
      <c r="Z43" s="10">
        <v>35.157000000249468</v>
      </c>
      <c r="AA43" s="342">
        <f t="shared" si="8"/>
        <v>1.4159999999521844</v>
      </c>
      <c r="AB43" s="10">
        <v>14.960119765155513</v>
      </c>
      <c r="AC43" s="342">
        <f t="shared" si="9"/>
        <v>16.376119765107696</v>
      </c>
      <c r="AD43" s="343">
        <f t="shared" si="10"/>
        <v>2.4767632807786599E-2</v>
      </c>
    </row>
    <row r="44" spans="1:30" x14ac:dyDescent="0.2">
      <c r="A44" t="str">
        <f t="shared" si="20"/>
        <v>33 Protective service occupations</v>
      </c>
      <c r="B44" s="11">
        <v>8.2904779256705433E-2</v>
      </c>
      <c r="C44" s="11">
        <v>0.26220177110999904</v>
      </c>
      <c r="D44" s="11">
        <f t="shared" si="21"/>
        <v>0.17929699185329362</v>
      </c>
      <c r="E44" s="11">
        <v>5.6463693424026989E-2</v>
      </c>
      <c r="F44" s="11">
        <f t="shared" si="22"/>
        <v>0.23576068527732061</v>
      </c>
      <c r="G44" s="200">
        <f t="shared" si="23"/>
        <v>3.5235123242508992E-2</v>
      </c>
      <c r="I44" s="11" t="str">
        <f>I33</f>
        <v>Administrative and secretarial occupations</v>
      </c>
      <c r="J44" s="11">
        <v>54.674210887265495</v>
      </c>
      <c r="K44" s="11">
        <v>79.800230503629166</v>
      </c>
      <c r="L44" s="11">
        <v>25.126019616363671</v>
      </c>
      <c r="M44" s="11">
        <v>39.724671169517691</v>
      </c>
      <c r="N44" s="11">
        <v>64.850690785881369</v>
      </c>
      <c r="P44" s="10" t="str">
        <f>name!D12</f>
        <v>33 Protective service occupations</v>
      </c>
      <c r="Q44" s="11">
        <v>5.6375849901913844</v>
      </c>
      <c r="R44" s="11">
        <v>9.8282234321513737</v>
      </c>
      <c r="S44" s="342">
        <f t="shared" si="24"/>
        <v>4.1906384419599894</v>
      </c>
      <c r="T44" s="342">
        <v>3.8469362769279729</v>
      </c>
      <c r="U44" s="342">
        <f t="shared" si="25"/>
        <v>8.0375747188879618</v>
      </c>
      <c r="V44" s="343">
        <f t="shared" si="26"/>
        <v>3.5288732688163238E-2</v>
      </c>
      <c r="W44" s="343"/>
      <c r="X44" s="10" t="str">
        <f>name!A41</f>
        <v>Postal and courier</v>
      </c>
      <c r="Y44" s="10">
        <v>24.881000000323301</v>
      </c>
      <c r="Z44" s="10">
        <v>26.737000000108882</v>
      </c>
      <c r="AA44" s="342">
        <f t="shared" si="8"/>
        <v>1.8559999997855812</v>
      </c>
      <c r="AB44" s="10">
        <v>12.235623595103316</v>
      </c>
      <c r="AC44" s="342">
        <f t="shared" si="9"/>
        <v>14.091623594888897</v>
      </c>
      <c r="AD44" s="343">
        <f t="shared" si="10"/>
        <v>2.7022698348058816E-2</v>
      </c>
    </row>
    <row r="45" spans="1:30" x14ac:dyDescent="0.2">
      <c r="A45" t="str">
        <f t="shared" si="20"/>
        <v>34 Culture, media and sports occupations</v>
      </c>
      <c r="B45" s="11">
        <v>0.82818543440191283</v>
      </c>
      <c r="C45" s="11">
        <v>1.5705261482523103</v>
      </c>
      <c r="D45" s="11">
        <f t="shared" ref="D45:D46" si="27">C45-B45</f>
        <v>0.74234071385039746</v>
      </c>
      <c r="E45" s="11">
        <v>0.63290002228099229</v>
      </c>
      <c r="F45" s="11">
        <f t="shared" ref="F45:F46" si="28">SUM(D45:E45)</f>
        <v>1.3752407361313899</v>
      </c>
      <c r="G45" s="200">
        <f t="shared" si="23"/>
        <v>3.8571821892155134E-2</v>
      </c>
      <c r="I45" s="11" t="str">
        <f t="shared" ref="I45:I49" si="29">I34</f>
        <v>Skilled trades occupations</v>
      </c>
      <c r="J45" s="11">
        <v>18.507395409974833</v>
      </c>
      <c r="K45" s="11">
        <v>31.049804232979117</v>
      </c>
      <c r="L45" s="11">
        <v>12.542408823004283</v>
      </c>
      <c r="M45" s="11">
        <v>15.093473031649781</v>
      </c>
      <c r="N45" s="11">
        <v>27.635881854654066</v>
      </c>
      <c r="P45" s="10" t="str">
        <f>name!D13</f>
        <v>34 Culture, media and sports occupations</v>
      </c>
      <c r="Q45" s="11">
        <v>35.604804213220092</v>
      </c>
      <c r="R45" s="11">
        <v>43.495306866300233</v>
      </c>
      <c r="S45" s="342">
        <f t="shared" si="24"/>
        <v>7.8905026530801408</v>
      </c>
      <c r="T45" s="342">
        <v>21.058405108861344</v>
      </c>
      <c r="U45" s="342">
        <f t="shared" si="25"/>
        <v>28.948907761941484</v>
      </c>
      <c r="V45" s="343">
        <f t="shared" si="26"/>
        <v>3.1461061820206249E-2</v>
      </c>
      <c r="W45" s="343"/>
      <c r="X45" s="10" t="str">
        <f>name!A42</f>
        <v>Accommodation</v>
      </c>
      <c r="Y45" s="10">
        <v>68.613000000737429</v>
      </c>
      <c r="Z45" s="10">
        <v>86.564999999448546</v>
      </c>
      <c r="AA45" s="342">
        <f t="shared" si="8"/>
        <v>17.951999998711116</v>
      </c>
      <c r="AB45" s="10">
        <v>41.428519232644348</v>
      </c>
      <c r="AC45" s="342">
        <f t="shared" si="9"/>
        <v>59.380519231355464</v>
      </c>
      <c r="AD45" s="343">
        <f t="shared" si="10"/>
        <v>3.1992825223858823E-2</v>
      </c>
    </row>
    <row r="46" spans="1:30" x14ac:dyDescent="0.2">
      <c r="A46" t="str">
        <f t="shared" si="20"/>
        <v>35 Business and public service associate professionals</v>
      </c>
      <c r="B46" s="11">
        <v>2.2004651952359144</v>
      </c>
      <c r="C46" s="11">
        <v>4.4691595775141284</v>
      </c>
      <c r="D46" s="11">
        <f t="shared" si="27"/>
        <v>2.268694382278214</v>
      </c>
      <c r="E46" s="11">
        <v>1.5397722820626001</v>
      </c>
      <c r="F46" s="11">
        <f t="shared" si="28"/>
        <v>3.808466664340814</v>
      </c>
      <c r="G46" s="200">
        <f t="shared" si="23"/>
        <v>3.5998146118598529E-2</v>
      </c>
      <c r="I46" s="11" t="str">
        <f t="shared" si="29"/>
        <v>Caring, leisure and other service occupations</v>
      </c>
      <c r="J46" s="11">
        <v>32.729180164832002</v>
      </c>
      <c r="K46" s="11">
        <v>51.059492414974876</v>
      </c>
      <c r="L46" s="11">
        <v>18.330312250142867</v>
      </c>
      <c r="M46" s="11">
        <v>29.189783463675031</v>
      </c>
      <c r="N46" s="11">
        <v>47.520095713817902</v>
      </c>
      <c r="P46" s="10" t="str">
        <f>name!D14</f>
        <v>35 Business and public service associate professionals</v>
      </c>
      <c r="Q46" s="11">
        <v>82.774489277445284</v>
      </c>
      <c r="R46" s="11">
        <v>92.936902945199435</v>
      </c>
      <c r="S46" s="342">
        <f t="shared" si="24"/>
        <v>10.162413667754151</v>
      </c>
      <c r="T46" s="342">
        <v>46.79528665610934</v>
      </c>
      <c r="U46" s="342">
        <f t="shared" si="25"/>
        <v>56.957700323863492</v>
      </c>
      <c r="V46" s="343">
        <f t="shared" si="26"/>
        <v>3.0323992765100671E-2</v>
      </c>
      <c r="W46" s="343"/>
      <c r="X46" s="10" t="str">
        <f>name!A43</f>
        <v>Food and beverage services</v>
      </c>
      <c r="Y46" s="10">
        <v>182.7140000025469</v>
      </c>
      <c r="Z46" s="10">
        <v>219.83599999870057</v>
      </c>
      <c r="AA46" s="342">
        <f t="shared" si="8"/>
        <v>37.121999996153676</v>
      </c>
      <c r="AB46" s="10">
        <v>99.402580434074878</v>
      </c>
      <c r="AC46" s="342">
        <f t="shared" si="9"/>
        <v>136.52458043022855</v>
      </c>
      <c r="AD46" s="343">
        <f t="shared" si="10"/>
        <v>2.9383301822894836E-2</v>
      </c>
    </row>
    <row r="47" spans="1:30" x14ac:dyDescent="0.2">
      <c r="A47" t="str">
        <f t="shared" si="20"/>
        <v>41 Administrative occupations</v>
      </c>
      <c r="B47" s="11">
        <v>1.2752417971484493</v>
      </c>
      <c r="C47" s="11">
        <v>2.8467893128020427</v>
      </c>
      <c r="D47" s="11">
        <f t="shared" si="21"/>
        <v>1.5715475156535934</v>
      </c>
      <c r="E47" s="11">
        <v>1.1081945654452821</v>
      </c>
      <c r="F47" s="11">
        <f t="shared" si="22"/>
        <v>2.6797420810988752</v>
      </c>
      <c r="G47" s="200">
        <f t="shared" si="23"/>
        <v>4.2575227453360398E-2</v>
      </c>
      <c r="I47" s="11" t="str">
        <f t="shared" si="29"/>
        <v>Sales and customer service occupations</v>
      </c>
      <c r="J47" s="11">
        <v>33.570531341155167</v>
      </c>
      <c r="K47" s="11">
        <v>52.318751564098015</v>
      </c>
      <c r="L47" s="11">
        <v>18.748220222942848</v>
      </c>
      <c r="M47" s="11">
        <v>24.870714411073845</v>
      </c>
      <c r="N47" s="11">
        <v>43.618934634016696</v>
      </c>
      <c r="P47" s="10" t="str">
        <f>name!D15</f>
        <v>41 Administrative occupations</v>
      </c>
      <c r="Q47" s="11">
        <v>173.39195630794055</v>
      </c>
      <c r="R47" s="11">
        <v>143.63991064972134</v>
      </c>
      <c r="S47" s="342">
        <f t="shared" si="24"/>
        <v>-29.752045658219203</v>
      </c>
      <c r="T47" s="342">
        <v>87.301434312314626</v>
      </c>
      <c r="U47" s="342">
        <f t="shared" si="25"/>
        <v>57.549388654095424</v>
      </c>
      <c r="V47" s="343">
        <f t="shared" si="26"/>
        <v>2.755893101807283E-2</v>
      </c>
      <c r="W47" s="343"/>
      <c r="X47" s="10" t="str">
        <f>name!A44</f>
        <v>Publishing activities</v>
      </c>
      <c r="Y47" s="10">
        <v>11.178999999854572</v>
      </c>
      <c r="Z47" s="10">
        <v>10.514999999985477</v>
      </c>
      <c r="AA47" s="342">
        <f t="shared" si="8"/>
        <v>-0.66399999986909464</v>
      </c>
      <c r="AB47" s="10">
        <v>4.8913008423757685</v>
      </c>
      <c r="AC47" s="342">
        <f t="shared" si="9"/>
        <v>4.2273008425066738</v>
      </c>
      <c r="AD47" s="343">
        <f t="shared" si="10"/>
        <v>2.4490817214267491E-2</v>
      </c>
    </row>
    <row r="48" spans="1:30" x14ac:dyDescent="0.2">
      <c r="A48" t="str">
        <f t="shared" si="20"/>
        <v>42 Secretarial and related occupations</v>
      </c>
      <c r="B48" s="11">
        <v>0.14427914954322413</v>
      </c>
      <c r="C48" s="11">
        <v>0.52899434851065308</v>
      </c>
      <c r="D48" s="11">
        <f t="shared" si="21"/>
        <v>0.38471519896742895</v>
      </c>
      <c r="E48" s="11">
        <v>0.21034010998129959</v>
      </c>
      <c r="F48" s="11">
        <f t="shared" si="22"/>
        <v>0.59505530894872849</v>
      </c>
      <c r="G48" s="200">
        <f t="shared" si="23"/>
        <v>6.1786623280389419E-2</v>
      </c>
      <c r="I48" s="11" t="str">
        <f t="shared" si="29"/>
        <v>Process, plant and machine operatives</v>
      </c>
      <c r="J48" s="11">
        <v>6.5675797996339789</v>
      </c>
      <c r="K48" s="11">
        <v>14.616832048741307</v>
      </c>
      <c r="L48" s="11">
        <v>8.0492522491073277</v>
      </c>
      <c r="M48" s="11">
        <v>6.6438336066711594</v>
      </c>
      <c r="N48" s="11">
        <v>14.693085855778488</v>
      </c>
      <c r="P48" s="10" t="str">
        <f>name!D16</f>
        <v>42 Secretarial and related occupations</v>
      </c>
      <c r="Q48" s="11">
        <v>49.639526056583435</v>
      </c>
      <c r="R48" s="11">
        <v>43.702728198855574</v>
      </c>
      <c r="S48" s="342">
        <f t="shared" si="24"/>
        <v>-5.9367978577278606</v>
      </c>
      <c r="T48" s="342">
        <v>26.442338035820143</v>
      </c>
      <c r="U48" s="342">
        <f t="shared" si="25"/>
        <v>20.505540178092282</v>
      </c>
      <c r="V48" s="343">
        <f t="shared" si="26"/>
        <v>2.8877258200479927E-2</v>
      </c>
      <c r="W48" s="343"/>
      <c r="X48" s="10" t="str">
        <f>name!A45</f>
        <v>Film and music</v>
      </c>
      <c r="Y48" s="10">
        <v>8.6919999999733548</v>
      </c>
      <c r="Z48" s="10">
        <v>8.2670000000778234</v>
      </c>
      <c r="AA48" s="342">
        <f t="shared" si="8"/>
        <v>-0.42499999989553139</v>
      </c>
      <c r="AB48" s="10">
        <v>4.2222459926462896</v>
      </c>
      <c r="AC48" s="342">
        <f t="shared" si="9"/>
        <v>3.7972459927507582</v>
      </c>
      <c r="AD48" s="343">
        <f t="shared" si="10"/>
        <v>2.6746637216925162E-2</v>
      </c>
    </row>
    <row r="49" spans="1:30" x14ac:dyDescent="0.2">
      <c r="A49" t="str">
        <f t="shared" si="20"/>
        <v>51 Skilled agricultural and related trades</v>
      </c>
      <c r="B49" s="11">
        <v>0.1324825405255842</v>
      </c>
      <c r="C49" s="11">
        <v>0.30771620426078583</v>
      </c>
      <c r="D49" s="11">
        <f t="shared" si="21"/>
        <v>0.17523366373520163</v>
      </c>
      <c r="E49" s="11">
        <v>0.16286739482771037</v>
      </c>
      <c r="F49" s="11">
        <f t="shared" si="22"/>
        <v>0.338101058562912</v>
      </c>
      <c r="G49" s="200">
        <f t="shared" si="23"/>
        <v>5.4901432707182618E-2</v>
      </c>
      <c r="I49" s="11" t="str">
        <f t="shared" si="29"/>
        <v>Elementary occupations</v>
      </c>
      <c r="J49" s="11">
        <v>22.743201133221707</v>
      </c>
      <c r="K49" s="11">
        <v>38.519476517632576</v>
      </c>
      <c r="L49" s="11">
        <v>15.776275384410866</v>
      </c>
      <c r="M49" s="11">
        <v>20.796464873823847</v>
      </c>
      <c r="N49" s="11">
        <v>36.572740258234717</v>
      </c>
      <c r="P49" s="10" t="str">
        <f>name!D17</f>
        <v>51 Skilled agricultural and related trades</v>
      </c>
      <c r="Q49" s="11">
        <v>5.5248441429069528</v>
      </c>
      <c r="R49" s="11">
        <v>7.4775490500484612</v>
      </c>
      <c r="S49" s="342">
        <f t="shared" si="24"/>
        <v>1.9527049071415084</v>
      </c>
      <c r="T49" s="342">
        <v>4.4833150710073957</v>
      </c>
      <c r="U49" s="342">
        <f t="shared" si="25"/>
        <v>6.436019978148904</v>
      </c>
      <c r="V49" s="343">
        <f>IF(Q49&gt;0,(1+(T49/Q49))^(1/($C$6-$B$6))-1,0)</f>
        <v>4.040463500896152E-2</v>
      </c>
      <c r="W49" s="343"/>
      <c r="X49" s="10" t="str">
        <f>name!A46</f>
        <v>Broadcasting</v>
      </c>
      <c r="Y49" s="10">
        <v>1.6369999999831604</v>
      </c>
      <c r="Z49" s="10">
        <v>1.532000000002572</v>
      </c>
      <c r="AA49" s="342">
        <f t="shared" si="8"/>
        <v>-0.1049999999805884</v>
      </c>
      <c r="AB49" s="10">
        <v>0.68527886081154321</v>
      </c>
      <c r="AC49" s="342">
        <f t="shared" si="9"/>
        <v>0.58027886083095481</v>
      </c>
      <c r="AD49" s="343">
        <f t="shared" si="10"/>
        <v>2.3586099143849903E-2</v>
      </c>
    </row>
    <row r="50" spans="1:30" x14ac:dyDescent="0.2">
      <c r="A50" t="str">
        <f t="shared" si="20"/>
        <v>52 Skilled metal, electrical and electronic trades</v>
      </c>
      <c r="B50" s="11">
        <v>0.11266000774809805</v>
      </c>
      <c r="C50" s="11">
        <v>0.25002714668557546</v>
      </c>
      <c r="D50" s="11">
        <f t="shared" si="21"/>
        <v>0.13736713893747743</v>
      </c>
      <c r="E50" s="11">
        <v>7.4036193563164529E-2</v>
      </c>
      <c r="F50" s="11">
        <f>SUM(D50:E50)</f>
        <v>0.21140333250064197</v>
      </c>
      <c r="G50" s="200">
        <f t="shared" si="23"/>
        <v>3.4247263117783699E-2</v>
      </c>
      <c r="O50" s="70"/>
      <c r="P50" s="10" t="str">
        <f>name!D18</f>
        <v>52 Skilled metal, electrical and electronic trades</v>
      </c>
      <c r="Q50" s="11">
        <v>2.9006023121482807</v>
      </c>
      <c r="R50" s="11">
        <v>9.1402436992043619</v>
      </c>
      <c r="S50" s="342">
        <f t="shared" si="24"/>
        <v>6.2396413870560812</v>
      </c>
      <c r="T50" s="342">
        <v>4.0377146445564298</v>
      </c>
      <c r="U50" s="342">
        <f t="shared" si="25"/>
        <v>10.277356031612511</v>
      </c>
      <c r="V50" s="343">
        <f t="shared" si="26"/>
        <v>5.9866250609905913E-2</v>
      </c>
      <c r="W50" s="343"/>
      <c r="X50" s="10" t="str">
        <f>name!A47</f>
        <v>Telecommunications</v>
      </c>
      <c r="Y50" s="10">
        <v>13.264999999779134</v>
      </c>
      <c r="Z50" s="10">
        <v>14.725999999782692</v>
      </c>
      <c r="AA50" s="342">
        <f t="shared" si="8"/>
        <v>1.4610000000035583</v>
      </c>
      <c r="AB50" s="10">
        <v>5.8541437600121062</v>
      </c>
      <c r="AC50" s="342">
        <f t="shared" si="9"/>
        <v>7.3151437600156646</v>
      </c>
      <c r="AD50" s="343">
        <f t="shared" si="10"/>
        <v>2.4670136186040414E-2</v>
      </c>
    </row>
    <row r="51" spans="1:30" x14ac:dyDescent="0.2">
      <c r="A51" t="str">
        <f t="shared" si="20"/>
        <v>53 Skilled construction and building trades</v>
      </c>
      <c r="B51" s="11">
        <v>3.0443821372094691E-2</v>
      </c>
      <c r="C51" s="11">
        <v>8.1412905822832879E-2</v>
      </c>
      <c r="D51" s="11">
        <f t="shared" ref="D51" si="30">C51-B51</f>
        <v>5.0969084450738188E-2</v>
      </c>
      <c r="E51" s="11">
        <v>2.8054801027095809E-2</v>
      </c>
      <c r="F51" s="11">
        <f>SUM(D51:E51)</f>
        <v>7.9023885477833997E-2</v>
      </c>
      <c r="G51" s="200">
        <f t="shared" si="23"/>
        <v>4.4503176123853239E-2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2.2652192277268988</v>
      </c>
      <c r="R51" s="11">
        <v>3.1076144022561487</v>
      </c>
      <c r="S51" s="342">
        <f t="shared" si="24"/>
        <v>0.84239517452924995</v>
      </c>
      <c r="T51" s="342">
        <v>1.4601020843703236</v>
      </c>
      <c r="U51" s="342">
        <f t="shared" si="25"/>
        <v>2.3024972588995736</v>
      </c>
      <c r="V51" s="343">
        <f t="shared" si="26"/>
        <v>3.3721541428008317E-2</v>
      </c>
      <c r="W51" s="343"/>
      <c r="X51" s="10" t="str">
        <f>name!A48</f>
        <v>Computing services</v>
      </c>
      <c r="Y51" s="10">
        <v>47.578999999034629</v>
      </c>
      <c r="Z51" s="10">
        <v>53.105999999235998</v>
      </c>
      <c r="AA51" s="342">
        <f t="shared" si="8"/>
        <v>5.5270000002013688</v>
      </c>
      <c r="AB51" s="10">
        <v>21.937749924890181</v>
      </c>
      <c r="AC51" s="342">
        <f t="shared" si="9"/>
        <v>27.464749925091549</v>
      </c>
      <c r="AD51" s="343">
        <f t="shared" si="10"/>
        <v>2.5600624554319884E-2</v>
      </c>
    </row>
    <row r="52" spans="1:30" x14ac:dyDescent="0.2">
      <c r="A52" t="str">
        <f t="shared" si="20"/>
        <v>54 Textiles, printing and other skilled trades</v>
      </c>
      <c r="B52" s="11">
        <v>0.21808075963690787</v>
      </c>
      <c r="C52" s="11">
        <v>0.53960086063514057</v>
      </c>
      <c r="D52" s="11">
        <f t="shared" si="21"/>
        <v>0.32152010099823269</v>
      </c>
      <c r="E52" s="11">
        <v>0.19344109129039036</v>
      </c>
      <c r="F52" s="11">
        <f t="shared" si="22"/>
        <v>0.51496119228862303</v>
      </c>
      <c r="G52" s="200">
        <f t="shared" si="23"/>
        <v>4.3241936459905483E-2</v>
      </c>
      <c r="I52" s="11" t="str">
        <f>I41</f>
        <v>Managers, directors and senior officials</v>
      </c>
      <c r="J52" s="11">
        <f t="array" ref="J52:J60">MMULT(aggregation!$B$38:$AA$46,B123:B148)</f>
        <v>19.349287986519396</v>
      </c>
      <c r="K52" s="11">
        <f t="array" ref="K52:K60">MMULT(aggregation!$B$38:$AA$46,C123:C148)</f>
        <v>23.641238502188102</v>
      </c>
      <c r="L52" s="11">
        <f t="array" ref="L52:L60">MMULT(aggregation!$B$38:$AA$46,D123:D148)</f>
        <v>4.2919505156687041</v>
      </c>
      <c r="M52" s="11">
        <f t="array" ref="M52:M60">MMULT(aggregation!$B$38:$AA$46,E123:E148)</f>
        <v>12.799829661054915</v>
      </c>
      <c r="N52" s="11">
        <f t="array" ref="N52:N60">MMULT(aggregation!$B$38:$AA$46,F123:F148)</f>
        <v>17.091780176723617</v>
      </c>
      <c r="P52" s="10" t="str">
        <f>name!D20</f>
        <v>54 Textiles, printing and other skilled trades</v>
      </c>
      <c r="Q52" s="11">
        <v>25.439483183937963</v>
      </c>
      <c r="R52" s="11">
        <v>26.124690669052541</v>
      </c>
      <c r="S52" s="342">
        <f t="shared" si="24"/>
        <v>0.68520748511457796</v>
      </c>
      <c r="T52" s="342">
        <v>15.421552157877921</v>
      </c>
      <c r="U52" s="342">
        <f t="shared" si="25"/>
        <v>16.1067596429925</v>
      </c>
      <c r="V52" s="343">
        <f t="shared" si="26"/>
        <v>3.2095945975268325E-2</v>
      </c>
      <c r="W52" s="343"/>
      <c r="X52" s="10" t="str">
        <f>name!A49</f>
        <v>Information services</v>
      </c>
      <c r="Y52" s="10">
        <v>6.2329999999530052</v>
      </c>
      <c r="Z52" s="10">
        <v>7.1059999999766426</v>
      </c>
      <c r="AA52" s="342">
        <f t="shared" si="8"/>
        <v>0.87300000002363731</v>
      </c>
      <c r="AB52" s="10">
        <v>3.1657911237116765</v>
      </c>
      <c r="AC52" s="342">
        <f t="shared" si="9"/>
        <v>4.0387911237353133</v>
      </c>
      <c r="AD52" s="343">
        <f t="shared" si="10"/>
        <v>2.7759874490153935E-2</v>
      </c>
    </row>
    <row r="53" spans="1:30" x14ac:dyDescent="0.2">
      <c r="A53" t="str">
        <f t="shared" si="20"/>
        <v>61 Caring personal service occupations</v>
      </c>
      <c r="B53" s="11">
        <v>0.14307695265396403</v>
      </c>
      <c r="C53" s="11">
        <v>0.35718286052089476</v>
      </c>
      <c r="D53" s="11">
        <f t="shared" si="21"/>
        <v>0.21410590786693073</v>
      </c>
      <c r="E53" s="11">
        <v>0.14083357943309435</v>
      </c>
      <c r="F53" s="11">
        <f t="shared" si="22"/>
        <v>0.35493948730002511</v>
      </c>
      <c r="G53" s="200">
        <f t="shared" si="23"/>
        <v>4.6744742253785221E-2</v>
      </c>
      <c r="I53" s="11" t="str">
        <f>I42</f>
        <v>Professional occupations</v>
      </c>
      <c r="J53" s="11">
        <v>31.522114089781638</v>
      </c>
      <c r="K53" s="11">
        <v>19.614455694787193</v>
      </c>
      <c r="L53" s="11">
        <v>-11.907658394994446</v>
      </c>
      <c r="M53" s="11">
        <v>9.2094632274653332</v>
      </c>
      <c r="N53" s="11">
        <v>-2.6981951675291129</v>
      </c>
      <c r="P53" s="10" t="str">
        <f>name!D21</f>
        <v>61 Caring personal service occupations</v>
      </c>
      <c r="Q53" s="11">
        <v>192.05798036863345</v>
      </c>
      <c r="R53" s="11">
        <v>228.34296144861375</v>
      </c>
      <c r="S53" s="342">
        <f t="shared" si="24"/>
        <v>36.284981079980298</v>
      </c>
      <c r="T53" s="342">
        <v>123.27659546177104</v>
      </c>
      <c r="U53" s="342">
        <f t="shared" si="25"/>
        <v>159.56157654175132</v>
      </c>
      <c r="V53" s="343">
        <f t="shared" si="26"/>
        <v>3.3608206983422706E-2</v>
      </c>
      <c r="W53" s="343"/>
      <c r="X53" s="10" t="str">
        <f>name!A50</f>
        <v>Financial services</v>
      </c>
      <c r="Y53" s="10">
        <v>39.577999999527748</v>
      </c>
      <c r="Z53" s="10">
        <v>37.911999999776725</v>
      </c>
      <c r="AA53" s="342">
        <f t="shared" si="8"/>
        <v>-1.6659999997510226</v>
      </c>
      <c r="AB53" s="10">
        <v>19.083584355038958</v>
      </c>
      <c r="AC53" s="342">
        <f t="shared" si="9"/>
        <v>17.417584355287936</v>
      </c>
      <c r="AD53" s="343">
        <f t="shared" si="10"/>
        <v>2.6581254237633134E-2</v>
      </c>
    </row>
    <row r="54" spans="1:30" x14ac:dyDescent="0.2">
      <c r="A54" t="str">
        <f t="shared" si="20"/>
        <v>62 Leisure, travel and related personal service occupations</v>
      </c>
      <c r="B54" s="11">
        <v>0.14467467952272042</v>
      </c>
      <c r="C54" s="11">
        <v>0.33941432566164792</v>
      </c>
      <c r="D54" s="11">
        <f t="shared" ref="D54:D55" si="31">C54-B54</f>
        <v>0.1947396461389275</v>
      </c>
      <c r="E54" s="11">
        <v>0.14575591861541706</v>
      </c>
      <c r="F54" s="11">
        <f t="shared" ref="F54:F55" si="32">SUM(D54:E54)</f>
        <v>0.34049556475434456</v>
      </c>
      <c r="G54" s="200">
        <f t="shared" si="23"/>
        <v>4.7554570471106672E-2</v>
      </c>
      <c r="I54" s="11" t="str">
        <f>I43</f>
        <v>Associate professional occupations</v>
      </c>
      <c r="J54" s="11">
        <v>27.823254939231148</v>
      </c>
      <c r="K54" s="11">
        <v>27.907307827201713</v>
      </c>
      <c r="L54" s="11">
        <v>8.4052887970560874E-2</v>
      </c>
      <c r="M54" s="11">
        <v>13.11980528262329</v>
      </c>
      <c r="N54" s="11">
        <v>13.20385817059385</v>
      </c>
      <c r="P54" s="10" t="str">
        <f>name!D22</f>
        <v>62 Leisure, travel and related personal service occupations</v>
      </c>
      <c r="Q54" s="11">
        <v>41.860965802942616</v>
      </c>
      <c r="R54" s="11">
        <v>49.421112415958603</v>
      </c>
      <c r="S54" s="342">
        <f t="shared" si="24"/>
        <v>7.5601466130159878</v>
      </c>
      <c r="T54" s="342">
        <v>25.535665524549096</v>
      </c>
      <c r="U54" s="342">
        <f t="shared" si="25"/>
        <v>33.095812137565083</v>
      </c>
      <c r="V54" s="343">
        <f t="shared" si="26"/>
        <v>3.2258805862045881E-2</v>
      </c>
      <c r="W54" s="343"/>
      <c r="X54" s="10" t="str">
        <f>name!A51</f>
        <v>Insurance and pensions</v>
      </c>
      <c r="Y54" s="10">
        <v>10.734999999875269</v>
      </c>
      <c r="Z54" s="10">
        <v>10.251999999955096</v>
      </c>
      <c r="AA54" s="342">
        <f t="shared" si="8"/>
        <v>-0.48299999992017284</v>
      </c>
      <c r="AB54" s="10">
        <v>5.0841939113439345</v>
      </c>
      <c r="AC54" s="342">
        <f t="shared" si="9"/>
        <v>4.6011939114237617</v>
      </c>
      <c r="AD54" s="343">
        <f t="shared" si="10"/>
        <v>2.6184585432677654E-2</v>
      </c>
    </row>
    <row r="55" spans="1:30" x14ac:dyDescent="0.2">
      <c r="A55" t="str">
        <f t="shared" si="20"/>
        <v>63 Community and civil enforcement occupations</v>
      </c>
      <c r="B55" s="11">
        <v>4.9191502953850131E-3</v>
      </c>
      <c r="C55" s="11">
        <v>1.0710531357843479E-2</v>
      </c>
      <c r="D55" s="11">
        <f t="shared" si="31"/>
        <v>5.7913810624584663E-3</v>
      </c>
      <c r="E55" s="11">
        <v>3.9370405023995952E-3</v>
      </c>
      <c r="F55" s="11">
        <f t="shared" si="32"/>
        <v>9.7284215648580606E-3</v>
      </c>
      <c r="G55" s="200">
        <f t="shared" si="23"/>
        <v>3.9977136263251722E-2</v>
      </c>
      <c r="I55" s="11" t="str">
        <f>I44</f>
        <v>Administrative and secretarial occupations</v>
      </c>
      <c r="J55" s="11">
        <v>21.112312732341081</v>
      </c>
      <c r="K55" s="11">
        <v>26.541677542734927</v>
      </c>
      <c r="L55" s="11">
        <v>5.4293648103938477</v>
      </c>
      <c r="M55" s="11">
        <v>14.969264768982544</v>
      </c>
      <c r="N55" s="11">
        <v>20.39862957937639</v>
      </c>
      <c r="P55" s="10" t="str">
        <f>name!D23</f>
        <v>63 Community and civil enforcement occupations</v>
      </c>
      <c r="Q55" s="11">
        <v>0.52912318277701664</v>
      </c>
      <c r="R55" s="11">
        <v>0.65697231949532697</v>
      </c>
      <c r="S55" s="342">
        <f t="shared" si="24"/>
        <v>0.12784913671831033</v>
      </c>
      <c r="T55" s="342">
        <v>0.40497363350432536</v>
      </c>
      <c r="U55" s="342">
        <f t="shared" si="25"/>
        <v>0.53282277022263569</v>
      </c>
      <c r="V55" s="343">
        <f t="shared" si="26"/>
        <v>3.8617589856514201E-2</v>
      </c>
      <c r="W55" s="343"/>
      <c r="X55" s="10" t="str">
        <f>name!A52</f>
        <v>Auxiliary financial services</v>
      </c>
      <c r="Y55" s="10">
        <v>35.953999999513819</v>
      </c>
      <c r="Z55" s="10">
        <v>34.685999999834905</v>
      </c>
      <c r="AA55" s="342">
        <f t="shared" si="8"/>
        <v>-1.2679999996789135</v>
      </c>
      <c r="AB55" s="10">
        <v>17.517541346813083</v>
      </c>
      <c r="AC55" s="342">
        <f t="shared" si="9"/>
        <v>16.249541347134169</v>
      </c>
      <c r="AD55" s="343">
        <f t="shared" si="10"/>
        <v>2.6813805835541382E-2</v>
      </c>
    </row>
    <row r="56" spans="1:30" x14ac:dyDescent="0.2">
      <c r="A56" t="str">
        <f t="shared" si="20"/>
        <v>71 Sales occupations</v>
      </c>
      <c r="B56" s="11">
        <v>0.44411499533203957</v>
      </c>
      <c r="C56" s="11">
        <v>0.8686280264445605</v>
      </c>
      <c r="D56" s="11">
        <f t="shared" si="21"/>
        <v>0.42451303111252092</v>
      </c>
      <c r="E56" s="11">
        <v>0.29623748382737108</v>
      </c>
      <c r="F56" s="11">
        <f t="shared" si="22"/>
        <v>0.72075051493989206</v>
      </c>
      <c r="G56" s="200">
        <f t="shared" si="23"/>
        <v>3.4656538281073956E-2</v>
      </c>
      <c r="I56" s="11" t="str">
        <f t="shared" ref="I56:I60" si="33">I45</f>
        <v>Skilled trades occupations</v>
      </c>
      <c r="J56" s="11">
        <v>8.7194372007519476</v>
      </c>
      <c r="K56" s="11">
        <v>14.255400504522051</v>
      </c>
      <c r="L56" s="11">
        <v>5.535963303770103</v>
      </c>
      <c r="M56" s="11">
        <v>7.1923428989586657</v>
      </c>
      <c r="N56" s="11">
        <v>12.728306202728769</v>
      </c>
      <c r="P56" s="10" t="str">
        <f>name!D24</f>
        <v>71 Sales occupations</v>
      </c>
      <c r="Q56" s="11">
        <v>125.92323109273038</v>
      </c>
      <c r="R56" s="11">
        <v>108.59925720219753</v>
      </c>
      <c r="S56" s="342">
        <f t="shared" si="24"/>
        <v>-17.323973890532841</v>
      </c>
      <c r="T56" s="342">
        <v>63.574810209759924</v>
      </c>
      <c r="U56" s="342">
        <f t="shared" si="25"/>
        <v>46.250836319227083</v>
      </c>
      <c r="V56" s="343">
        <f t="shared" si="26"/>
        <v>2.7621679184281156E-2</v>
      </c>
      <c r="W56" s="343"/>
      <c r="X56" s="10" t="str">
        <f>name!A53</f>
        <v>Real estate</v>
      </c>
      <c r="Y56" s="10">
        <v>57.623999999695421</v>
      </c>
      <c r="Z56" s="10">
        <v>52.122999999801053</v>
      </c>
      <c r="AA56" s="342">
        <f t="shared" si="8"/>
        <v>-5.5009999998943684</v>
      </c>
      <c r="AB56" s="10">
        <v>26.499872842927527</v>
      </c>
      <c r="AC56" s="342">
        <f t="shared" si="9"/>
        <v>20.998872843033158</v>
      </c>
      <c r="AD56" s="343">
        <f t="shared" si="10"/>
        <v>2.5544218034105004E-2</v>
      </c>
    </row>
    <row r="57" spans="1:30" x14ac:dyDescent="0.2">
      <c r="A57" t="str">
        <f t="shared" si="20"/>
        <v>72 Customer service occupations</v>
      </c>
      <c r="B57" s="11">
        <v>0.18245189562159847</v>
      </c>
      <c r="C57" s="11">
        <v>0.57742224347134619</v>
      </c>
      <c r="D57" s="11">
        <f t="shared" si="21"/>
        <v>0.39497034784974772</v>
      </c>
      <c r="E57" s="11">
        <v>0.18448519802465524</v>
      </c>
      <c r="F57" s="11">
        <f t="shared" si="22"/>
        <v>0.57945554587440296</v>
      </c>
      <c r="G57" s="200">
        <f t="shared" si="23"/>
        <v>4.7682160831956644E-2</v>
      </c>
      <c r="I57" s="11" t="str">
        <f t="shared" si="33"/>
        <v>Caring, leisure and other service occupations</v>
      </c>
      <c r="J57" s="11">
        <v>25.353986780898992</v>
      </c>
      <c r="K57" s="11">
        <v>31.878552769215538</v>
      </c>
      <c r="L57" s="11">
        <v>6.5245659883165468</v>
      </c>
      <c r="M57" s="11">
        <v>18.174473358542713</v>
      </c>
      <c r="N57" s="11">
        <v>24.699039346859259</v>
      </c>
      <c r="P57" s="10" t="str">
        <f>name!D25</f>
        <v>72 Customer service occupations</v>
      </c>
      <c r="Q57" s="11">
        <v>30.117099602872955</v>
      </c>
      <c r="R57" s="11">
        <v>41.946826210479621</v>
      </c>
      <c r="S57" s="342">
        <f t="shared" si="24"/>
        <v>11.829726607606666</v>
      </c>
      <c r="T57" s="342">
        <v>20.52619216326995</v>
      </c>
      <c r="U57" s="342">
        <f t="shared" si="25"/>
        <v>32.355918770876613</v>
      </c>
      <c r="V57" s="343">
        <f t="shared" si="26"/>
        <v>3.5254798310762281E-2</v>
      </c>
      <c r="W57" s="343"/>
      <c r="X57" s="10" t="str">
        <f>name!A54</f>
        <v>Legal and accounting</v>
      </c>
      <c r="Y57" s="10">
        <v>77.010999998524809</v>
      </c>
      <c r="Z57" s="10">
        <v>82.401000000176282</v>
      </c>
      <c r="AA57" s="342">
        <f t="shared" si="8"/>
        <v>5.3900000016514724</v>
      </c>
      <c r="AB57" s="10">
        <v>41.243626483027015</v>
      </c>
      <c r="AC57" s="342">
        <f t="shared" si="9"/>
        <v>46.633626484678487</v>
      </c>
      <c r="AD57" s="343">
        <f t="shared" si="10"/>
        <v>2.9005490047500304E-2</v>
      </c>
    </row>
    <row r="58" spans="1:30" x14ac:dyDescent="0.2">
      <c r="A58" t="str">
        <f t="shared" si="20"/>
        <v>81 Process, plant and machine operatives</v>
      </c>
      <c r="B58" s="11">
        <v>0.12292534402157536</v>
      </c>
      <c r="C58" s="11">
        <v>0.55094510370317196</v>
      </c>
      <c r="D58" s="11">
        <f t="shared" ref="D58:D59" si="34">C58-B58</f>
        <v>0.42801975968159661</v>
      </c>
      <c r="E58" s="11">
        <v>0.16729209857793409</v>
      </c>
      <c r="F58" s="11">
        <f t="shared" ref="F58:F59" si="35">SUM(D58:E58)</f>
        <v>0.5953118582595307</v>
      </c>
      <c r="G58" s="200">
        <f t="shared" si="23"/>
        <v>5.8941914233931136E-2</v>
      </c>
      <c r="I58" s="11" t="str">
        <f t="shared" si="33"/>
        <v>Sales and customer service occupations</v>
      </c>
      <c r="J58" s="11">
        <v>11.511229746290425</v>
      </c>
      <c r="K58" s="11">
        <v>17.135533794272867</v>
      </c>
      <c r="L58" s="11">
        <v>5.6243040479824424</v>
      </c>
      <c r="M58" s="11">
        <v>8.4937517980251513</v>
      </c>
      <c r="N58" s="11">
        <v>14.118055846007593</v>
      </c>
      <c r="P58" s="10" t="str">
        <f>name!D26</f>
        <v>81 Process, plant and machine operatives</v>
      </c>
      <c r="Q58" s="11">
        <v>13.983572803948594</v>
      </c>
      <c r="R58" s="11">
        <v>20.195239971014729</v>
      </c>
      <c r="S58" s="342">
        <f t="shared" si="24"/>
        <v>6.2116671670661354</v>
      </c>
      <c r="T58" s="342">
        <v>8.8889328819051858</v>
      </c>
      <c r="U58" s="342">
        <f t="shared" si="25"/>
        <v>15.100600048971321</v>
      </c>
      <c r="V58" s="343">
        <f t="shared" si="26"/>
        <v>3.3347452365042107E-2</v>
      </c>
      <c r="W58" s="343"/>
      <c r="X58" s="10" t="str">
        <f>name!A55</f>
        <v>Head offices, etc</v>
      </c>
      <c r="Y58" s="10">
        <v>66.251999998705287</v>
      </c>
      <c r="Z58" s="10">
        <v>68.65799999973062</v>
      </c>
      <c r="AA58" s="342">
        <f t="shared" si="8"/>
        <v>2.4060000010253333</v>
      </c>
      <c r="AB58" s="10">
        <v>32.925878046855559</v>
      </c>
      <c r="AC58" s="342">
        <f t="shared" si="9"/>
        <v>35.331878047880892</v>
      </c>
      <c r="AD58" s="343">
        <f t="shared" si="10"/>
        <v>2.7261601214614073E-2</v>
      </c>
    </row>
    <row r="59" spans="1:30" x14ac:dyDescent="0.2">
      <c r="A59" t="str">
        <f t="shared" si="20"/>
        <v>82 Transport and mobile machine drivers and operatives</v>
      </c>
      <c r="B59" s="11">
        <v>0.18687788550138937</v>
      </c>
      <c r="C59" s="11">
        <v>0.55897584672810308</v>
      </c>
      <c r="D59" s="11">
        <f t="shared" si="34"/>
        <v>0.37209796122671368</v>
      </c>
      <c r="E59" s="11">
        <v>0.23668900093819142</v>
      </c>
      <c r="F59" s="11">
        <f t="shared" si="35"/>
        <v>0.60878696216490513</v>
      </c>
      <c r="G59" s="200">
        <f t="shared" si="23"/>
        <v>5.6065704590474885E-2</v>
      </c>
      <c r="I59" s="11" t="str">
        <f t="shared" si="33"/>
        <v>Process, plant and machine operatives</v>
      </c>
      <c r="J59" s="11">
        <v>2.9935479982975908</v>
      </c>
      <c r="K59" s="11">
        <v>6.5675615315277431</v>
      </c>
      <c r="L59" s="11">
        <v>3.5740135332301519</v>
      </c>
      <c r="M59" s="11">
        <v>2.9876568529619032</v>
      </c>
      <c r="N59" s="11">
        <v>6.5616703861920556</v>
      </c>
      <c r="P59" s="10" t="str">
        <f>name!D27</f>
        <v>82 Transport and mobile machine drivers and operatives</v>
      </c>
      <c r="Q59" s="11">
        <v>6.8896104109328249</v>
      </c>
      <c r="R59" s="11">
        <v>11.055035395075796</v>
      </c>
      <c r="S59" s="342">
        <f t="shared" si="24"/>
        <v>4.1654249841429714</v>
      </c>
      <c r="T59" s="342">
        <v>6.1887532805722936</v>
      </c>
      <c r="U59" s="342">
        <f t="shared" si="25"/>
        <v>10.354178264715266</v>
      </c>
      <c r="V59" s="343">
        <f t="shared" si="26"/>
        <v>4.3655700830103061E-2</v>
      </c>
      <c r="W59" s="343"/>
      <c r="X59" s="10" t="str">
        <f>name!A56</f>
        <v>Architectural and related</v>
      </c>
      <c r="Y59" s="10">
        <v>57.904999998750696</v>
      </c>
      <c r="Z59" s="10">
        <v>60.346999999390292</v>
      </c>
      <c r="AA59" s="342">
        <f t="shared" si="8"/>
        <v>2.4420000006395952</v>
      </c>
      <c r="AB59" s="10">
        <v>26.645193134686771</v>
      </c>
      <c r="AC59" s="342">
        <f t="shared" si="9"/>
        <v>29.087193135326366</v>
      </c>
      <c r="AD59" s="343">
        <f t="shared" si="10"/>
        <v>2.5557234411904162E-2</v>
      </c>
    </row>
    <row r="60" spans="1:30" x14ac:dyDescent="0.2">
      <c r="A60" t="str">
        <f t="shared" si="20"/>
        <v>91 Elementary trades and related occupations</v>
      </c>
      <c r="B60" s="11">
        <v>1.720546421118019E-3</v>
      </c>
      <c r="C60" s="11">
        <v>3.3438566921853482E-3</v>
      </c>
      <c r="D60" s="11">
        <f t="shared" si="21"/>
        <v>1.6233102710673292E-3</v>
      </c>
      <c r="E60" s="11">
        <v>1.3475983993017232E-3</v>
      </c>
      <c r="F60" s="11">
        <f>SUM(D60:E60)</f>
        <v>2.9709086703690523E-3</v>
      </c>
      <c r="G60" s="200">
        <f t="shared" si="23"/>
        <v>3.9315244194475074E-2</v>
      </c>
      <c r="I60" s="11" t="str">
        <f t="shared" si="33"/>
        <v>Elementary occupations</v>
      </c>
      <c r="J60" s="11">
        <v>11.104490317691607</v>
      </c>
      <c r="K60" s="11">
        <v>18.827862333717498</v>
      </c>
      <c r="L60" s="11">
        <v>7.723372016025893</v>
      </c>
      <c r="M60" s="11">
        <v>9.4717971892558683</v>
      </c>
      <c r="N60" s="11">
        <v>17.195169205281761</v>
      </c>
      <c r="P60" s="10" t="str">
        <f>name!D28</f>
        <v>91 Elementary trades and related occupations</v>
      </c>
      <c r="Q60" s="11">
        <v>10.141628716064233</v>
      </c>
      <c r="R60" s="11">
        <v>9.4038464834095681</v>
      </c>
      <c r="S60" s="342">
        <f t="shared" si="24"/>
        <v>-0.73778223265466458</v>
      </c>
      <c r="T60" s="342">
        <v>5.5833085048024689</v>
      </c>
      <c r="U60" s="342">
        <f t="shared" si="25"/>
        <v>4.8455262721478043</v>
      </c>
      <c r="V60" s="343">
        <f t="shared" si="26"/>
        <v>2.9671631256914077E-2</v>
      </c>
      <c r="W60" s="343"/>
      <c r="X60" s="10" t="str">
        <f>name!A57</f>
        <v>Scientific research and development</v>
      </c>
      <c r="Y60" s="10">
        <v>11.325999999803075</v>
      </c>
      <c r="Z60" s="10">
        <v>16.344999999981258</v>
      </c>
      <c r="AA60" s="342">
        <f t="shared" si="8"/>
        <v>5.0190000001781829</v>
      </c>
      <c r="AB60" s="10">
        <v>6.4107710666201303</v>
      </c>
      <c r="AC60" s="342">
        <f t="shared" si="9"/>
        <v>11.429771066798313</v>
      </c>
      <c r="AD60" s="343">
        <f t="shared" si="10"/>
        <v>3.0354171082205283E-2</v>
      </c>
    </row>
    <row r="61" spans="1:30" x14ac:dyDescent="0.2">
      <c r="A61" t="str">
        <f t="shared" si="20"/>
        <v>92 Elementary administration and service occupations</v>
      </c>
      <c r="B61" s="11">
        <v>0.17595983537684168</v>
      </c>
      <c r="C61" s="11">
        <v>0.42834000120504367</v>
      </c>
      <c r="D61" s="11">
        <f t="shared" ref="D61" si="36">C61-B61</f>
        <v>0.252380165828202</v>
      </c>
      <c r="E61" s="11">
        <v>0.17203292972088513</v>
      </c>
      <c r="F61" s="11">
        <f t="shared" ref="F61" si="37">SUM(D61:E61)</f>
        <v>0.42441309554908713</v>
      </c>
      <c r="G61" s="200">
        <f t="shared" ref="G61" si="38">IF(B61&gt;0,(1+(E61/B61))^(1/($C$6-$B$6))-1,0)</f>
        <v>4.6510952387381455E-2</v>
      </c>
      <c r="P61" s="10" t="str">
        <f>name!D29</f>
        <v>92 Elementary administration and service occupations</v>
      </c>
      <c r="Q61" s="11">
        <v>130.40280638269709</v>
      </c>
      <c r="R61" s="11">
        <v>133.86498478731414</v>
      </c>
      <c r="S61" s="342">
        <f t="shared" ref="S61" si="39">R61-Q61</f>
        <v>3.462178404617049</v>
      </c>
      <c r="T61" s="342">
        <v>76.10877457554939</v>
      </c>
      <c r="U61" s="342">
        <f t="shared" ref="U61" si="40">SUM(S61:T61)</f>
        <v>79.570952980166439</v>
      </c>
      <c r="V61" s="343">
        <f t="shared" ref="V61" si="41">IF(Q61&gt;0,(1+(T61/Q61))^(1/($C$6-$B$6))-1,0)</f>
        <v>3.1123056975228991E-2</v>
      </c>
      <c r="W61" s="11"/>
      <c r="X61" s="10" t="str">
        <f>name!A58</f>
        <v>Advertising, etc</v>
      </c>
      <c r="Y61" s="10">
        <v>12.87299999978895</v>
      </c>
      <c r="Z61" s="10">
        <v>18.815000000085146</v>
      </c>
      <c r="AA61" s="342">
        <f t="shared" si="8"/>
        <v>5.9420000002961952</v>
      </c>
      <c r="AB61" s="10">
        <v>8.370511267987002</v>
      </c>
      <c r="AC61" s="342">
        <f t="shared" si="9"/>
        <v>14.312511268283197</v>
      </c>
      <c r="AD61" s="343">
        <f t="shared" si="10"/>
        <v>3.3958486469696902E-2</v>
      </c>
    </row>
    <row r="62" spans="1:30" x14ac:dyDescent="0.2">
      <c r="A62" t="str">
        <f t="shared" si="20"/>
        <v>All occupations</v>
      </c>
      <c r="B62" s="11">
        <f>SUM(B36:B61)</f>
        <v>47.134788614307183</v>
      </c>
      <c r="C62" s="11">
        <f t="shared" ref="C62:F62" si="42">SUM(C36:C61)</f>
        <v>91.885931833206854</v>
      </c>
      <c r="D62" s="11">
        <f t="shared" si="42"/>
        <v>44.751143218899621</v>
      </c>
      <c r="E62" s="11">
        <f t="shared" si="42"/>
        <v>33.341146704427551</v>
      </c>
      <c r="F62" s="11">
        <f t="shared" si="42"/>
        <v>78.092289923327215</v>
      </c>
      <c r="G62" s="200">
        <f t="shared" si="23"/>
        <v>3.6306680793456225E-2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1438.047999998086</v>
      </c>
      <c r="R62" s="11">
        <f>SUM(R36:R61)</f>
        <v>1616.0950000008086</v>
      </c>
      <c r="S62" s="342">
        <f>R62-Q62</f>
        <v>178.0470000027226</v>
      </c>
      <c r="T62" s="11">
        <f>SUM(T36:T61)</f>
        <v>867.54813551701568</v>
      </c>
      <c r="U62" s="342">
        <f>SUM(S62:T62)</f>
        <v>1045.5951355197383</v>
      </c>
      <c r="V62" s="343">
        <f>IF(Q62&gt;0,(1+(T62/Q62))^(1/($C$6-$B$6))-1,0)</f>
        <v>3.1970597074383988E-2</v>
      </c>
      <c r="X62" s="10" t="str">
        <f>name!A59</f>
        <v>Other professional</v>
      </c>
      <c r="Y62" s="10">
        <v>19.276999999762737</v>
      </c>
      <c r="Z62" s="10">
        <v>27.973000000104346</v>
      </c>
      <c r="AA62" s="342">
        <f t="shared" si="8"/>
        <v>8.6960000003416091</v>
      </c>
      <c r="AB62" s="10">
        <v>12.403057581170167</v>
      </c>
      <c r="AC62" s="342">
        <f t="shared" si="9"/>
        <v>21.099057581511776</v>
      </c>
      <c r="AD62" s="343">
        <f t="shared" si="10"/>
        <v>3.3672829913468538E-2</v>
      </c>
    </row>
    <row r="63" spans="1:30" x14ac:dyDescent="0.2">
      <c r="I63" s="11" t="str">
        <f>I52</f>
        <v>Managers, directors and senior officials</v>
      </c>
      <c r="J63" s="11">
        <f t="array" ref="J63:J71">MMULT(aggregation!$B$38:$AA$46,B152:B177)</f>
        <v>24.257348653747762</v>
      </c>
      <c r="K63" s="11">
        <f t="array" ref="K63:K71">MMULT(aggregation!$B$38:$AA$46,C152:C177)</f>
        <v>27.776449588015353</v>
      </c>
      <c r="L63" s="11">
        <f t="array" ref="L63:L71">MMULT(aggregation!$B$38:$AA$46,D152:D177)</f>
        <v>3.5191009342675894</v>
      </c>
      <c r="M63" s="11">
        <f t="array" ref="M63:M71">MMULT(aggregation!$B$38:$AA$46,E152:E177)</f>
        <v>15.270728133736894</v>
      </c>
      <c r="N63" s="11">
        <f t="array" ref="N63:N71">MMULT(aggregation!$B$38:$AA$46,F152:F177)</f>
        <v>18.789829068004483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12.064000000124343</v>
      </c>
      <c r="Z63" s="10">
        <v>17.852999999950999</v>
      </c>
      <c r="AA63" s="342">
        <f t="shared" si="8"/>
        <v>5.7889999998266557</v>
      </c>
      <c r="AB63" s="10">
        <v>8.2581307508840229</v>
      </c>
      <c r="AC63" s="342">
        <f t="shared" si="9"/>
        <v>14.047130750710679</v>
      </c>
      <c r="AD63" s="343">
        <f t="shared" si="10"/>
        <v>3.537703394002123E-2</v>
      </c>
    </row>
    <row r="64" spans="1:30" ht="38.25" x14ac:dyDescent="0.2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31.25246686474788</v>
      </c>
      <c r="K64" s="11">
        <v>32.293504667498716</v>
      </c>
      <c r="L64" s="11">
        <v>1.0410378027508367</v>
      </c>
      <c r="M64" s="11">
        <v>14.558358662984318</v>
      </c>
      <c r="N64" s="11">
        <v>15.599396465735156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14.001000000033359</v>
      </c>
      <c r="Z64" s="10">
        <v>17.070000000055185</v>
      </c>
      <c r="AA64" s="342">
        <f t="shared" si="8"/>
        <v>3.0690000000218252</v>
      </c>
      <c r="AB64" s="10">
        <v>7.3240063305996097</v>
      </c>
      <c r="AC64" s="342">
        <f t="shared" si="9"/>
        <v>10.393006330621436</v>
      </c>
      <c r="AD64" s="343">
        <f t="shared" si="10"/>
        <v>2.8447217564745664E-2</v>
      </c>
    </row>
    <row r="65" spans="1:30" x14ac:dyDescent="0.2">
      <c r="A65" t="str">
        <f t="shared" ref="A65:A91" si="44">A7</f>
        <v>11 Corporate managers and directors</v>
      </c>
      <c r="B65" s="11">
        <v>28.241124394906265</v>
      </c>
      <c r="C65" s="11">
        <v>51.053818503044404</v>
      </c>
      <c r="D65" s="11">
        <f>C65-B65</f>
        <v>22.812694108138139</v>
      </c>
      <c r="E65" s="11">
        <v>20.24993983040914</v>
      </c>
      <c r="F65" s="11">
        <f>SUM(D65:E65)</f>
        <v>43.062633938547279</v>
      </c>
      <c r="G65" s="200">
        <f>IF(B65&gt;0,(1+(E65/B65))^(1/($C$6-$B$6))-1,0)</f>
        <v>3.6697335025888789E-2</v>
      </c>
      <c r="I65" s="11" t="str">
        <f>I54</f>
        <v>Associate professional occupations</v>
      </c>
      <c r="J65" s="11">
        <v>24.377154955856575</v>
      </c>
      <c r="K65" s="11">
        <v>24.76189856826716</v>
      </c>
      <c r="L65" s="11">
        <v>0.38474361241058208</v>
      </c>
      <c r="M65" s="11">
        <v>11.560412837741076</v>
      </c>
      <c r="N65" s="11">
        <v>11.945156450151657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67.339000000237164</v>
      </c>
      <c r="Z65" s="10">
        <v>81.758000000396066</v>
      </c>
      <c r="AA65" s="342">
        <f t="shared" si="8"/>
        <v>14.419000000158903</v>
      </c>
      <c r="AB65" s="10">
        <v>35.56280770501548</v>
      </c>
      <c r="AC65" s="342">
        <f t="shared" si="9"/>
        <v>49.981807705174383</v>
      </c>
      <c r="AD65" s="343">
        <f t="shared" si="10"/>
        <v>2.8672404418953024E-2</v>
      </c>
    </row>
    <row r="66" spans="1:30" x14ac:dyDescent="0.2">
      <c r="A66" t="str">
        <f t="shared" si="44"/>
        <v>12 Other managers and proprietors</v>
      </c>
      <c r="B66" s="11">
        <v>12.125479096248933</v>
      </c>
      <c r="C66" s="11">
        <v>33.473294022870526</v>
      </c>
      <c r="D66" s="11">
        <f t="shared" ref="D66:D89" si="45">C66-B66</f>
        <v>21.347814926621595</v>
      </c>
      <c r="E66" s="11">
        <v>13.792829422890124</v>
      </c>
      <c r="F66" s="11">
        <f t="shared" ref="F66:F89" si="46">SUM(D66:E66)</f>
        <v>35.140644349511717</v>
      </c>
      <c r="G66" s="200">
        <f t="shared" ref="G66:G91" si="47">IF(B66&gt;0,(1+(E66/B66))^(1/($C$6-$B$6))-1,0)</f>
        <v>5.1946976870910655E-2</v>
      </c>
      <c r="I66" s="11" t="str">
        <f>I55</f>
        <v>Administrative and secretarial occupations</v>
      </c>
      <c r="J66" s="11">
        <v>20.086695327225975</v>
      </c>
      <c r="K66" s="11">
        <v>25.553691256351865</v>
      </c>
      <c r="L66" s="11">
        <v>5.4669959291258881</v>
      </c>
      <c r="M66" s="11">
        <v>12.859394207505026</v>
      </c>
      <c r="N66" s="11">
        <v>18.326390136630913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4.8110000000016662</v>
      </c>
      <c r="Z66" s="10">
        <v>5.8509999999994022</v>
      </c>
      <c r="AA66" s="342">
        <f t="shared" si="8"/>
        <v>1.0399999999977361</v>
      </c>
      <c r="AB66" s="10">
        <v>2.661531486738403</v>
      </c>
      <c r="AC66" s="342">
        <f t="shared" si="9"/>
        <v>3.7015314867361391</v>
      </c>
      <c r="AD66" s="343">
        <f t="shared" si="10"/>
        <v>2.9790370500768049E-2</v>
      </c>
    </row>
    <row r="67" spans="1:30" x14ac:dyDescent="0.2">
      <c r="A67" t="str">
        <f t="shared" si="44"/>
        <v>21 Science, research, engineering and technology professionals</v>
      </c>
      <c r="B67" s="11">
        <v>35.618267058097523</v>
      </c>
      <c r="C67" s="11">
        <v>71.17283001444585</v>
      </c>
      <c r="D67" s="11">
        <f t="shared" si="45"/>
        <v>35.554562956348327</v>
      </c>
      <c r="E67" s="11">
        <v>21.06298104820943</v>
      </c>
      <c r="F67" s="11">
        <f t="shared" si="46"/>
        <v>56.617544004557757</v>
      </c>
      <c r="G67" s="200">
        <f t="shared" si="47"/>
        <v>3.1456953377508645E-2</v>
      </c>
      <c r="I67" s="11" t="str">
        <f t="shared" ref="I67:I71" si="48">I56</f>
        <v>Skilled trades occupations</v>
      </c>
      <c r="J67" s="11">
        <v>16.669283298000877</v>
      </c>
      <c r="K67" s="11">
        <v>24.72478905331462</v>
      </c>
      <c r="L67" s="11">
        <v>8.0555057553137406</v>
      </c>
      <c r="M67" s="11">
        <v>11.791623346077911</v>
      </c>
      <c r="N67" s="11">
        <v>19.847129101391651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14.815000000085309</v>
      </c>
      <c r="Z67" s="10">
        <v>18.024000000119454</v>
      </c>
      <c r="AA67" s="342">
        <f t="shared" si="8"/>
        <v>3.2090000000341448</v>
      </c>
      <c r="AB67" s="10">
        <v>7.3976181821466707</v>
      </c>
      <c r="AC67" s="342">
        <f t="shared" si="9"/>
        <v>10.606618182180815</v>
      </c>
      <c r="AD67" s="343">
        <f t="shared" si="10"/>
        <v>2.7369195393235568E-2</v>
      </c>
    </row>
    <row r="68" spans="1:30" x14ac:dyDescent="0.2">
      <c r="A68" t="str">
        <f t="shared" si="44"/>
        <v>22 Health professionals</v>
      </c>
      <c r="B68" s="11">
        <v>26.312267548425872</v>
      </c>
      <c r="C68" s="11">
        <v>51.840580179958692</v>
      </c>
      <c r="D68" s="11">
        <f t="shared" si="45"/>
        <v>25.52831263153282</v>
      </c>
      <c r="E68" s="11">
        <v>20.243120339552732</v>
      </c>
      <c r="F68" s="11">
        <f t="shared" si="46"/>
        <v>45.771432971085552</v>
      </c>
      <c r="G68" s="200">
        <f t="shared" si="47"/>
        <v>3.8773299851472487E-2</v>
      </c>
      <c r="I68" s="11" t="str">
        <f t="shared" si="48"/>
        <v>Caring, leisure and other service occupations</v>
      </c>
      <c r="J68" s="11">
        <v>17.909231058668695</v>
      </c>
      <c r="K68" s="11">
        <v>25.560817687863416</v>
      </c>
      <c r="L68" s="11">
        <v>7.651586629194723</v>
      </c>
      <c r="M68" s="11">
        <v>14.239293384147738</v>
      </c>
      <c r="N68" s="11">
        <v>21.890880013342461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58.055000000117793</v>
      </c>
      <c r="Z68" s="10">
        <v>69.720000000081981</v>
      </c>
      <c r="AA68" s="342">
        <f t="shared" si="8"/>
        <v>11.664999999964188</v>
      </c>
      <c r="AB68" s="10">
        <v>33.064915811424356</v>
      </c>
      <c r="AC68" s="342">
        <f t="shared" si="9"/>
        <v>44.729915811388544</v>
      </c>
      <c r="AD68" s="343">
        <f t="shared" si="10"/>
        <v>3.0508500828952512E-2</v>
      </c>
    </row>
    <row r="69" spans="1:30" x14ac:dyDescent="0.2">
      <c r="A69" t="str">
        <f t="shared" si="44"/>
        <v>23 Teaching and other educational professionals</v>
      </c>
      <c r="B69" s="11">
        <v>73.712736619149069</v>
      </c>
      <c r="C69" s="11">
        <v>108.05182447397068</v>
      </c>
      <c r="D69" s="11">
        <f t="shared" ref="D69" si="49">C69-B69</f>
        <v>34.339087854821614</v>
      </c>
      <c r="E69" s="11">
        <v>47.822509933674596</v>
      </c>
      <c r="F69" s="11">
        <f t="shared" ref="F69" si="50">SUM(D69:E69)</f>
        <v>82.161597788496209</v>
      </c>
      <c r="G69" s="200">
        <f t="shared" si="47"/>
        <v>3.3897092697244835E-2</v>
      </c>
      <c r="I69" s="11" t="str">
        <f t="shared" si="48"/>
        <v>Sales and customer service occupations</v>
      </c>
      <c r="J69" s="11">
        <v>9.6369892561389499</v>
      </c>
      <c r="K69" s="11">
        <v>13.050143575708887</v>
      </c>
      <c r="L69" s="11">
        <v>3.4131543195699385</v>
      </c>
      <c r="M69" s="11">
        <v>5.9457258905989185</v>
      </c>
      <c r="N69" s="11">
        <v>9.3588802101688575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38.511000000147668</v>
      </c>
      <c r="Z69" s="10">
        <v>46.784000000250074</v>
      </c>
      <c r="AA69" s="342">
        <f t="shared" si="8"/>
        <v>8.2730000001024067</v>
      </c>
      <c r="AB69" s="10">
        <v>19.802717039209213</v>
      </c>
      <c r="AC69" s="342">
        <f t="shared" si="9"/>
        <v>28.07571703931162</v>
      </c>
      <c r="AD69" s="343">
        <f t="shared" si="10"/>
        <v>2.8045639354489005E-2</v>
      </c>
    </row>
    <row r="70" spans="1:30" x14ac:dyDescent="0.2">
      <c r="A70" t="str">
        <f t="shared" si="44"/>
        <v>24 Business, media and public service professionals</v>
      </c>
      <c r="B70" s="11">
        <v>45.608089214382787</v>
      </c>
      <c r="C70" s="11">
        <v>89.510698299348903</v>
      </c>
      <c r="D70" s="11">
        <f t="shared" si="45"/>
        <v>43.902609084966116</v>
      </c>
      <c r="E70" s="11">
        <v>33.504185979830297</v>
      </c>
      <c r="F70" s="11">
        <f t="shared" si="46"/>
        <v>77.406795064796412</v>
      </c>
      <c r="G70" s="200">
        <f t="shared" si="47"/>
        <v>3.7401328469957029E-2</v>
      </c>
      <c r="I70" s="11" t="str">
        <f t="shared" si="48"/>
        <v>Process, plant and machine operatives</v>
      </c>
      <c r="J70" s="11">
        <v>5.1275139127655365</v>
      </c>
      <c r="K70" s="11">
        <v>9.8272727079905238</v>
      </c>
      <c r="L70" s="11">
        <v>4.6997587952249873</v>
      </c>
      <c r="M70" s="11">
        <v>4.6744656627934837</v>
      </c>
      <c r="N70" s="11">
        <v>9.374224458018471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108.89599999894065</v>
      </c>
      <c r="Z70" s="10">
        <v>117.07899999978541</v>
      </c>
      <c r="AA70" s="342">
        <f t="shared" si="8"/>
        <v>8.183000000844757</v>
      </c>
      <c r="AB70" s="10">
        <v>55.69324660269065</v>
      </c>
      <c r="AC70" s="342">
        <f t="shared" si="9"/>
        <v>63.876246603535407</v>
      </c>
      <c r="AD70" s="343">
        <f t="shared" si="10"/>
        <v>2.7919966586808842E-2</v>
      </c>
    </row>
    <row r="71" spans="1:30" x14ac:dyDescent="0.2">
      <c r="A71" t="str">
        <f t="shared" si="44"/>
        <v>31 Science, engineering and technology associate professionals</v>
      </c>
      <c r="B71" s="11">
        <v>6.8015616804501944</v>
      </c>
      <c r="C71" s="11">
        <v>11.698287107390723</v>
      </c>
      <c r="D71" s="11">
        <f t="shared" si="45"/>
        <v>4.8967254269405283</v>
      </c>
      <c r="E71" s="11">
        <v>3.8826140017094146</v>
      </c>
      <c r="F71" s="11">
        <f t="shared" si="46"/>
        <v>8.7793394286499424</v>
      </c>
      <c r="G71" s="200">
        <f t="shared" si="47"/>
        <v>3.0565244646096446E-2</v>
      </c>
      <c r="I71" s="11" t="str">
        <f t="shared" si="48"/>
        <v>Elementary occupations</v>
      </c>
      <c r="J71" s="11">
        <v>10.54578218520035</v>
      </c>
      <c r="K71" s="11">
        <v>17.000440222741112</v>
      </c>
      <c r="L71" s="11">
        <v>6.4546580375407618</v>
      </c>
      <c r="M71" s="11">
        <v>8.364861582876653</v>
      </c>
      <c r="N71" s="11">
        <v>14.819519620417415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241.88599999586123</v>
      </c>
      <c r="Z71" s="10">
        <v>261.08100000144287</v>
      </c>
      <c r="AA71" s="342">
        <f t="shared" si="8"/>
        <v>19.195000005581647</v>
      </c>
      <c r="AB71" s="10">
        <v>132.59004677410795</v>
      </c>
      <c r="AC71" s="342">
        <f t="shared" si="9"/>
        <v>151.78504677968959</v>
      </c>
      <c r="AD71" s="343">
        <f t="shared" si="10"/>
        <v>2.95660676946079E-2</v>
      </c>
    </row>
    <row r="72" spans="1:30" x14ac:dyDescent="0.2">
      <c r="A72" t="str">
        <f t="shared" si="44"/>
        <v>32 Health and social care associate professionals</v>
      </c>
      <c r="B72" s="11">
        <v>6.5249208233257976</v>
      </c>
      <c r="C72" s="11">
        <v>14.437932683150436</v>
      </c>
      <c r="D72" s="11">
        <f t="shared" si="45"/>
        <v>7.9130118598246382</v>
      </c>
      <c r="E72" s="11">
        <v>5.9444068823780896</v>
      </c>
      <c r="F72" s="11">
        <f t="shared" si="46"/>
        <v>13.857418742202729</v>
      </c>
      <c r="G72" s="200">
        <f t="shared" si="47"/>
        <v>4.4121854760264867E-2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226.23399999841899</v>
      </c>
      <c r="Z72" s="10">
        <v>298.15999999891085</v>
      </c>
      <c r="AA72" s="342">
        <f t="shared" ref="AA72:AA80" si="51">Z72-Y72</f>
        <v>71.926000000491854</v>
      </c>
      <c r="AB72" s="10">
        <v>143.59243238718122</v>
      </c>
      <c r="AC72" s="342">
        <f t="shared" ref="AC72:AC82" si="52">SUM(AA72:AB72)</f>
        <v>215.51843238767307</v>
      </c>
      <c r="AD72" s="343">
        <f t="shared" ref="AD72:AD82" si="53">IF(Y72&gt;0,(1+(AB72/Y72))^(1/($C$6-$B$6))-1,0)</f>
        <v>3.3306920963398934E-2</v>
      </c>
    </row>
    <row r="73" spans="1:30" x14ac:dyDescent="0.2">
      <c r="A73" t="str">
        <f t="shared" si="44"/>
        <v>33 Protective service occupations</v>
      </c>
      <c r="B73" s="11">
        <v>1.263930718428014</v>
      </c>
      <c r="C73" s="11">
        <v>3.8076974386953131</v>
      </c>
      <c r="D73" s="11">
        <f t="shared" si="45"/>
        <v>2.5437667202672989</v>
      </c>
      <c r="E73" s="11">
        <v>0.78838520061713235</v>
      </c>
      <c r="F73" s="11">
        <f t="shared" si="46"/>
        <v>3.3321519208844315</v>
      </c>
      <c r="G73" s="200">
        <f t="shared" si="47"/>
        <v>3.2843996908985096E-2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72.739999999592811</v>
      </c>
      <c r="Z73" s="10">
        <v>82.090999999657967</v>
      </c>
      <c r="AA73" s="342">
        <f t="shared" si="51"/>
        <v>9.3510000000651559</v>
      </c>
      <c r="AB73" s="10">
        <v>42.589889372053207</v>
      </c>
      <c r="AC73" s="342">
        <f t="shared" si="52"/>
        <v>51.940889372118363</v>
      </c>
      <c r="AD73" s="343">
        <f t="shared" si="53"/>
        <v>3.1203959527445146E-2</v>
      </c>
    </row>
    <row r="74" spans="1:30" x14ac:dyDescent="0.2">
      <c r="A74" t="str">
        <f t="shared" si="44"/>
        <v>34 Culture, media and sports occupations</v>
      </c>
      <c r="B74" s="11">
        <v>12.99899389438759</v>
      </c>
      <c r="C74" s="11">
        <v>25.192409528451943</v>
      </c>
      <c r="D74" s="11">
        <f t="shared" ref="D74:D75" si="54">C74-B74</f>
        <v>12.193415634064353</v>
      </c>
      <c r="E74" s="11">
        <v>9.8497954742493512</v>
      </c>
      <c r="F74" s="11">
        <f t="shared" ref="F74:F75" si="55">SUM(D74:E74)</f>
        <v>22.043211108313706</v>
      </c>
      <c r="G74" s="200">
        <f t="shared" si="47"/>
        <v>3.8317635164522912E-2</v>
      </c>
      <c r="I74" s="11" t="str">
        <f>I63</f>
        <v>Managers, directors and senior officials</v>
      </c>
      <c r="J74" s="11">
        <f t="array" ref="J74:J82">MMULT(aggregation!$B$38:$AA$46,B181:B206)</f>
        <v>64.430092126542689</v>
      </c>
      <c r="K74" s="11">
        <f t="array" ref="K74:K82">MMULT(aggregation!$B$38:$AA$46,C181:C206)</f>
        <v>63.593610463598374</v>
      </c>
      <c r="L74" s="11">
        <f t="array" ref="L74:L82">MMULT(aggregation!$B$38:$AA$46,D181:D206)</f>
        <v>-0.83648166294431192</v>
      </c>
      <c r="M74" s="11">
        <f t="array" ref="M74:M82">MMULT(aggregation!$B$38:$AA$46,E181:E206)</f>
        <v>26.211330464531756</v>
      </c>
      <c r="N74" s="11">
        <f t="array" ref="N74:N82">MMULT(aggregation!$B$38:$AA$46,F181:F206)</f>
        <v>25.37484880158744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76.403999999510305</v>
      </c>
      <c r="Z74" s="10">
        <v>84.508999999692222</v>
      </c>
      <c r="AA74" s="342">
        <f t="shared" si="51"/>
        <v>8.1050000001819171</v>
      </c>
      <c r="AB74" s="10">
        <v>44.751550321209322</v>
      </c>
      <c r="AC74" s="342">
        <f t="shared" si="52"/>
        <v>52.856550321391239</v>
      </c>
      <c r="AD74" s="343">
        <f t="shared" si="53"/>
        <v>3.1213242025295074E-2</v>
      </c>
    </row>
    <row r="75" spans="1:30" x14ac:dyDescent="0.2">
      <c r="A75" t="str">
        <f t="shared" si="44"/>
        <v>35 Business and public service associate professionals</v>
      </c>
      <c r="B75" s="11">
        <v>25.034967688982544</v>
      </c>
      <c r="C75" s="11">
        <v>45.474550833438371</v>
      </c>
      <c r="D75" s="11">
        <f t="shared" si="54"/>
        <v>20.439583144455828</v>
      </c>
      <c r="E75" s="11">
        <v>17.276905069690187</v>
      </c>
      <c r="F75" s="11">
        <f t="shared" si="55"/>
        <v>37.716488214146011</v>
      </c>
      <c r="G75" s="200">
        <f t="shared" si="47"/>
        <v>3.5605498219845488E-2</v>
      </c>
      <c r="I75" s="11" t="str">
        <f>I64</f>
        <v>Professional occupations</v>
      </c>
      <c r="J75" s="11">
        <v>76.929187879521123</v>
      </c>
      <c r="K75" s="11">
        <v>83.351622071091995</v>
      </c>
      <c r="L75" s="11">
        <v>6.4224341915708614</v>
      </c>
      <c r="M75" s="11">
        <v>31.673309500890397</v>
      </c>
      <c r="N75" s="11">
        <v>38.095743692461262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12.971999999902438</v>
      </c>
      <c r="Z75" s="10">
        <v>16.22900000023731</v>
      </c>
      <c r="AA75" s="342">
        <f t="shared" si="51"/>
        <v>3.2570000003348714</v>
      </c>
      <c r="AB75" s="10">
        <v>7.7071370486788489</v>
      </c>
      <c r="AC75" s="342">
        <f t="shared" si="52"/>
        <v>10.96413704901372</v>
      </c>
      <c r="AD75" s="343">
        <f t="shared" si="53"/>
        <v>3.1577112912490213E-2</v>
      </c>
    </row>
    <row r="76" spans="1:30" x14ac:dyDescent="0.2">
      <c r="A76" t="str">
        <f t="shared" si="44"/>
        <v>41 Administrative occupations</v>
      </c>
      <c r="B76" s="11">
        <v>16.282504850446021</v>
      </c>
      <c r="C76" s="11">
        <v>33.033553362592173</v>
      </c>
      <c r="D76" s="11">
        <f t="shared" si="45"/>
        <v>16.751048512146152</v>
      </c>
      <c r="E76" s="11">
        <v>13.389130187555603</v>
      </c>
      <c r="F76" s="11">
        <f t="shared" si="46"/>
        <v>30.140178699701757</v>
      </c>
      <c r="G76" s="200">
        <f t="shared" si="47"/>
        <v>4.0817735914551845E-2</v>
      </c>
      <c r="I76" s="11" t="str">
        <f>I65</f>
        <v>Associate professional occupations</v>
      </c>
      <c r="J76" s="11">
        <v>72.861461233162544</v>
      </c>
      <c r="K76" s="11">
        <v>68.588722622650522</v>
      </c>
      <c r="L76" s="11">
        <v>-4.2727386105120244</v>
      </c>
      <c r="M76" s="11">
        <v>27.678579198058813</v>
      </c>
      <c r="N76" s="11">
        <v>23.405840587546791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14.711999999917742</v>
      </c>
      <c r="Z76" s="10">
        <v>18.423000000278901</v>
      </c>
      <c r="AA76" s="342">
        <f t="shared" si="51"/>
        <v>3.7110000003611585</v>
      </c>
      <c r="AB76" s="10">
        <v>8.6035990507306668</v>
      </c>
      <c r="AC76" s="342">
        <f t="shared" si="52"/>
        <v>12.314599051091825</v>
      </c>
      <c r="AD76" s="343">
        <f t="shared" si="53"/>
        <v>3.1173295481639718E-2</v>
      </c>
    </row>
    <row r="77" spans="1:30" x14ac:dyDescent="0.2">
      <c r="A77" t="str">
        <f t="shared" si="44"/>
        <v>42 Secretarial and related occupations</v>
      </c>
      <c r="B77" s="11">
        <v>2.7891772516098694</v>
      </c>
      <c r="C77" s="11">
        <v>6.8726017089283804</v>
      </c>
      <c r="D77" s="11">
        <f t="shared" si="45"/>
        <v>4.083424457318511</v>
      </c>
      <c r="E77" s="11">
        <v>3.0968683405324753</v>
      </c>
      <c r="F77" s="11">
        <f t="shared" si="46"/>
        <v>7.1802927978509867</v>
      </c>
      <c r="G77" s="200">
        <f t="shared" si="47"/>
        <v>5.1049493229869736E-2</v>
      </c>
      <c r="I77" s="11" t="str">
        <f>I66</f>
        <v>Administrative and secretarial occupations</v>
      </c>
      <c r="J77" s="11">
        <v>65.444404954467984</v>
      </c>
      <c r="K77" s="11">
        <v>48.393725434713247</v>
      </c>
      <c r="L77" s="11">
        <v>-17.050679519754731</v>
      </c>
      <c r="M77" s="11">
        <v>25.847140973281373</v>
      </c>
      <c r="N77" s="11">
        <v>8.7964614535266428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4.8739999999947781</v>
      </c>
      <c r="Z77" s="10">
        <v>6.8310000000752984</v>
      </c>
      <c r="AA77" s="342">
        <f t="shared" si="51"/>
        <v>1.9570000000805203</v>
      </c>
      <c r="AB77" s="10">
        <v>2.7870101746763729</v>
      </c>
      <c r="AC77" s="342">
        <f t="shared" si="52"/>
        <v>4.7440101747568928</v>
      </c>
      <c r="AD77" s="343">
        <f t="shared" si="53"/>
        <v>3.0607663760049419E-2</v>
      </c>
    </row>
    <row r="78" spans="1:30" x14ac:dyDescent="0.2">
      <c r="A78" t="str">
        <f t="shared" si="44"/>
        <v>51 Skilled agricultural and related trades</v>
      </c>
      <c r="B78" s="11">
        <v>0.68539260661736134</v>
      </c>
      <c r="C78" s="11">
        <v>1.4896946359637051</v>
      </c>
      <c r="D78" s="11">
        <f t="shared" si="45"/>
        <v>0.80430202934634376</v>
      </c>
      <c r="E78" s="11">
        <v>0.55467107042013009</v>
      </c>
      <c r="F78" s="11">
        <f t="shared" si="46"/>
        <v>1.358973099766474</v>
      </c>
      <c r="G78" s="200">
        <f t="shared" si="47"/>
        <v>4.0320056545358529E-2</v>
      </c>
      <c r="I78" s="11" t="str">
        <f t="shared" ref="I78:I82" si="56">I67</f>
        <v>Skilled trades occupations</v>
      </c>
      <c r="J78" s="11">
        <v>101.28965468631094</v>
      </c>
      <c r="K78" s="11">
        <v>107.0975847029233</v>
      </c>
      <c r="L78" s="11">
        <v>5.8079300166123753</v>
      </c>
      <c r="M78" s="11">
        <v>38.957300873637635</v>
      </c>
      <c r="N78" s="11">
        <v>44.765230890250017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49.702000000005299</v>
      </c>
      <c r="Z78" s="10">
        <v>69.414000000767729</v>
      </c>
      <c r="AA78" s="342">
        <f t="shared" si="51"/>
        <v>19.71200000076243</v>
      </c>
      <c r="AB78" s="10">
        <v>30.017437572816807</v>
      </c>
      <c r="AC78" s="342">
        <f t="shared" si="52"/>
        <v>49.729437573579233</v>
      </c>
      <c r="AD78" s="343">
        <f t="shared" si="53"/>
        <v>3.1999192333386217E-2</v>
      </c>
    </row>
    <row r="79" spans="1:30" x14ac:dyDescent="0.2">
      <c r="A79" t="str">
        <f t="shared" si="44"/>
        <v>52 Skilled metal, electrical and electronic trades</v>
      </c>
      <c r="B79" s="11">
        <v>2.0485063114091733</v>
      </c>
      <c r="C79" s="11">
        <v>7.0558900527493105</v>
      </c>
      <c r="D79" s="11">
        <f t="shared" si="45"/>
        <v>5.0073837413401368</v>
      </c>
      <c r="E79" s="11">
        <v>2.3065481325025936</v>
      </c>
      <c r="F79" s="11">
        <f t="shared" si="46"/>
        <v>7.3139318738427299</v>
      </c>
      <c r="G79" s="200">
        <f t="shared" si="47"/>
        <v>5.1567331123569593E-2</v>
      </c>
      <c r="I79" s="11" t="str">
        <f t="shared" si="56"/>
        <v>Caring, leisure and other service occupations</v>
      </c>
      <c r="J79" s="11">
        <v>97.990366978054269</v>
      </c>
      <c r="K79" s="11">
        <v>130.25238082663464</v>
      </c>
      <c r="L79" s="11">
        <v>32.262013848580374</v>
      </c>
      <c r="M79" s="11">
        <v>60.893984183456475</v>
      </c>
      <c r="N79" s="11">
        <v>93.155998032036848</v>
      </c>
      <c r="X79" s="10" t="str">
        <f>name!A76</f>
        <v>Membership organisations</v>
      </c>
      <c r="Y79" s="10">
        <v>31.666999999575513</v>
      </c>
      <c r="Z79" s="10">
        <v>33.221000000144087</v>
      </c>
      <c r="AA79" s="342">
        <f t="shared" si="51"/>
        <v>1.5540000005685748</v>
      </c>
      <c r="AB79" s="10">
        <v>17.000351664738346</v>
      </c>
      <c r="AC79" s="342">
        <f t="shared" si="52"/>
        <v>18.554351665306921</v>
      </c>
      <c r="AD79" s="343">
        <f t="shared" si="53"/>
        <v>2.9063211784095211E-2</v>
      </c>
    </row>
    <row r="80" spans="1:30" x14ac:dyDescent="0.2">
      <c r="A80" t="str">
        <f t="shared" si="44"/>
        <v>53 Skilled construction and building trades</v>
      </c>
      <c r="B80" s="11">
        <v>0.86789826763912326</v>
      </c>
      <c r="C80" s="11">
        <v>2.2415099406685712</v>
      </c>
      <c r="D80" s="11">
        <f t="shared" ref="D80" si="57">C80-B80</f>
        <v>1.3736116730294481</v>
      </c>
      <c r="E80" s="11">
        <v>0.78568557882872259</v>
      </c>
      <c r="F80" s="11">
        <f>SUM(D80:E80)</f>
        <v>2.1592972518581708</v>
      </c>
      <c r="G80" s="200">
        <f t="shared" si="47"/>
        <v>4.3911847881364929E-2</v>
      </c>
      <c r="I80" s="11" t="str">
        <f t="shared" si="56"/>
        <v>Sales and customer service occupations</v>
      </c>
      <c r="J80" s="11">
        <v>70.053860748094962</v>
      </c>
      <c r="K80" s="11">
        <v>79.981837502815949</v>
      </c>
      <c r="L80" s="11">
        <v>9.9279767547209818</v>
      </c>
      <c r="M80" s="11">
        <v>32.416035148143145</v>
      </c>
      <c r="N80" s="11">
        <v>42.344011902864125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8.3579999999698646</v>
      </c>
      <c r="Z80" s="10">
        <v>9.3009999999697133</v>
      </c>
      <c r="AA80" s="342">
        <f t="shared" si="51"/>
        <v>0.94299999999984863</v>
      </c>
      <c r="AB80" s="10">
        <v>4.0305230536583734</v>
      </c>
      <c r="AC80" s="342">
        <f t="shared" si="52"/>
        <v>4.973523053658222</v>
      </c>
      <c r="AD80" s="343">
        <f t="shared" si="53"/>
        <v>2.6583968235950994E-2</v>
      </c>
    </row>
    <row r="81" spans="1:30" x14ac:dyDescent="0.2">
      <c r="A81" t="str">
        <f t="shared" si="44"/>
        <v>54 Textiles, printing and other skilled trades</v>
      </c>
      <c r="B81" s="11">
        <v>2.2448608159394361</v>
      </c>
      <c r="C81" s="11">
        <v>5.3366287923616422</v>
      </c>
      <c r="D81" s="11">
        <f t="shared" si="45"/>
        <v>3.0917679764222061</v>
      </c>
      <c r="E81" s="11">
        <v>2.1899184023750489</v>
      </c>
      <c r="F81" s="11">
        <f t="shared" si="46"/>
        <v>5.2816863787972554</v>
      </c>
      <c r="G81" s="200">
        <f t="shared" si="47"/>
        <v>4.6434795828993458E-2</v>
      </c>
      <c r="I81" s="11" t="str">
        <f t="shared" si="56"/>
        <v>Process, plant and machine operatives</v>
      </c>
      <c r="J81" s="11">
        <v>34.435630549109547</v>
      </c>
      <c r="K81" s="11">
        <v>51.483791922743592</v>
      </c>
      <c r="L81" s="11">
        <v>17.048161373634041</v>
      </c>
      <c r="M81" s="11">
        <v>19.188030775931189</v>
      </c>
      <c r="N81" s="11">
        <v>36.236192149565227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37.599000000071953</v>
      </c>
      <c r="Z81" s="10">
        <v>40.013000000069063</v>
      </c>
      <c r="AA81" s="342">
        <f>Z81-Y81</f>
        <v>2.4139999999971096</v>
      </c>
      <c r="AB81" s="10">
        <v>19.416088043623528</v>
      </c>
      <c r="AC81" s="342">
        <f t="shared" si="52"/>
        <v>21.830088043620638</v>
      </c>
      <c r="AD81" s="343">
        <f t="shared" si="53"/>
        <v>2.8144682370388363E-2</v>
      </c>
    </row>
    <row r="82" spans="1:30" x14ac:dyDescent="0.2">
      <c r="A82" t="str">
        <f t="shared" si="44"/>
        <v>61 Caring personal service occupations</v>
      </c>
      <c r="B82" s="11">
        <v>8.64233556624181</v>
      </c>
      <c r="C82" s="11">
        <v>20.847527864960472</v>
      </c>
      <c r="D82" s="11">
        <f t="shared" si="45"/>
        <v>12.205192298718663</v>
      </c>
      <c r="E82" s="11">
        <v>8.9002924665336849</v>
      </c>
      <c r="F82" s="11">
        <f t="shared" si="46"/>
        <v>21.105484765252349</v>
      </c>
      <c r="G82" s="200">
        <f t="shared" si="47"/>
        <v>4.8328924600124834E-2</v>
      </c>
      <c r="I82" s="11" t="str">
        <f t="shared" si="56"/>
        <v>Elementary occupations</v>
      </c>
      <c r="J82" s="11">
        <v>57.825929849700636</v>
      </c>
      <c r="K82" s="11">
        <v>61.119569987386662</v>
      </c>
      <c r="L82" s="11">
        <v>3.2936401376860305</v>
      </c>
      <c r="M82" s="11">
        <v>27.166480045738652</v>
      </c>
      <c r="N82" s="11">
        <v>30.460120183424682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2929.5869999964661</v>
      </c>
      <c r="Z82" s="353">
        <f>SUM(Z7:Z81)</f>
        <v>3240.0929999972936</v>
      </c>
      <c r="AA82" s="354">
        <f>Z82-Y82</f>
        <v>310.5060000008275</v>
      </c>
      <c r="AB82" s="353">
        <f>SUM(AB7:AB81)</f>
        <v>1498.7302638611791</v>
      </c>
      <c r="AC82" s="354">
        <f t="shared" si="52"/>
        <v>1809.2362638620066</v>
      </c>
      <c r="AD82" s="346">
        <f t="shared" si="53"/>
        <v>2.7926719836061098E-2</v>
      </c>
    </row>
    <row r="83" spans="1:30" x14ac:dyDescent="0.2">
      <c r="A83" t="str">
        <f t="shared" si="44"/>
        <v>62 Leisure, travel and related personal service occupations</v>
      </c>
      <c r="B83" s="11">
        <v>1.5520141444941518</v>
      </c>
      <c r="C83" s="11">
        <v>4.0538413861201663</v>
      </c>
      <c r="D83" s="11">
        <f t="shared" ref="D83:D84" si="58">C83-B83</f>
        <v>2.5018272416260148</v>
      </c>
      <c r="E83" s="11">
        <v>1.5643445568273711</v>
      </c>
      <c r="F83" s="11">
        <f t="shared" ref="F83:F84" si="59">SUM(D83:E83)</f>
        <v>4.0661717984533858</v>
      </c>
      <c r="G83" s="200">
        <f t="shared" si="47"/>
        <v>4.7570960729961476E-2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2">
      <c r="A84" t="str">
        <f t="shared" si="44"/>
        <v>63 Community and civil enforcement occupations</v>
      </c>
      <c r="B84" s="11">
        <v>9.8008783883451231E-2</v>
      </c>
      <c r="C84" s="11">
        <v>0.17143059614326678</v>
      </c>
      <c r="D84" s="11">
        <f t="shared" si="58"/>
        <v>7.3421812259815547E-2</v>
      </c>
      <c r="E84" s="11">
        <v>6.2640346111678097E-2</v>
      </c>
      <c r="F84" s="11">
        <f t="shared" si="59"/>
        <v>0.13606215837149366</v>
      </c>
      <c r="G84" s="200">
        <f t="shared" si="47"/>
        <v>3.3493045381720155E-2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2">
      <c r="A85" t="str">
        <f t="shared" si="44"/>
        <v>71 Sales occupations</v>
      </c>
      <c r="B85" s="11">
        <v>6.8180648941250563</v>
      </c>
      <c r="C85" s="11">
        <v>15.818852751611031</v>
      </c>
      <c r="D85" s="11">
        <f t="shared" si="45"/>
        <v>9.0007878574859745</v>
      </c>
      <c r="E85" s="11">
        <v>5.2875327355340884</v>
      </c>
      <c r="F85" s="11">
        <f t="shared" si="46"/>
        <v>14.288320593020064</v>
      </c>
      <c r="G85" s="200">
        <f t="shared" si="47"/>
        <v>3.9014655971773227E-2</v>
      </c>
      <c r="I85" s="11" t="str">
        <f>I74</f>
        <v>Managers, directors and senior officials</v>
      </c>
      <c r="J85" s="11">
        <f t="array" ref="J85:J93">MMULT(aggregation!$B$38:$AA$46,B210:B235)</f>
        <v>52.272084436890218</v>
      </c>
      <c r="K85" s="11">
        <f t="array" ref="K85:K93">MMULT(aggregation!$B$38:$AA$46,C210:C235)</f>
        <v>36.017493604067383</v>
      </c>
      <c r="L85" s="11">
        <f t="array" ref="L85:L93">MMULT(aggregation!$B$38:$AA$46,D210:D235)</f>
        <v>-16.254590832822839</v>
      </c>
      <c r="M85" s="11">
        <f t="array" ref="M85:M93">MMULT(aggregation!$B$38:$AA$46,E210:E235)</f>
        <v>22.204510557143095</v>
      </c>
      <c r="N85" s="11">
        <f t="array" ref="N85:N93">MMULT(aggregation!$B$38:$AA$46,F210:F235)</f>
        <v>5.9499197243202548</v>
      </c>
      <c r="P85" s="11"/>
      <c r="Q85" s="11"/>
      <c r="R85" s="11"/>
      <c r="S85" s="11"/>
      <c r="T85" s="11"/>
      <c r="U85" s="11"/>
    </row>
    <row r="86" spans="1:30" x14ac:dyDescent="0.2">
      <c r="A86" t="str">
        <f t="shared" si="44"/>
        <v>72 Customer service occupations</v>
      </c>
      <c r="B86" s="11">
        <v>2.0293653533429628</v>
      </c>
      <c r="C86" s="11">
        <v>6.018983599321448</v>
      </c>
      <c r="D86" s="11">
        <f t="shared" si="45"/>
        <v>3.9896182459784852</v>
      </c>
      <c r="E86" s="11">
        <v>2.0089519803046705</v>
      </c>
      <c r="F86" s="11">
        <f t="shared" si="46"/>
        <v>5.9985702262831557</v>
      </c>
      <c r="G86" s="200">
        <f t="shared" si="47"/>
        <v>4.6942138443204051E-2</v>
      </c>
      <c r="I86" s="11" t="str">
        <f>I75</f>
        <v>Professional occupations</v>
      </c>
      <c r="J86" s="11">
        <v>49.899230124848671</v>
      </c>
      <c r="K86" s="11">
        <v>34.728866541696348</v>
      </c>
      <c r="L86" s="11">
        <v>-15.170363583152314</v>
      </c>
      <c r="M86" s="11">
        <v>17.617160599214564</v>
      </c>
      <c r="N86" s="11">
        <v>2.446797016062249</v>
      </c>
      <c r="P86" s="11"/>
      <c r="Q86" s="11"/>
      <c r="R86" s="11"/>
      <c r="S86" s="11"/>
      <c r="T86" s="11"/>
      <c r="U86" s="11"/>
    </row>
    <row r="87" spans="1:30" x14ac:dyDescent="0.2">
      <c r="A87" t="str">
        <f t="shared" si="44"/>
        <v>81 Process, plant and machine operatives</v>
      </c>
      <c r="B87" s="11">
        <v>0.97380592788862397</v>
      </c>
      <c r="C87" s="11">
        <v>3.5251497196758557</v>
      </c>
      <c r="D87" s="11">
        <f t="shared" ref="D87:D88" si="60">C87-B87</f>
        <v>2.5513437917872315</v>
      </c>
      <c r="E87" s="11">
        <v>1.062117779778232</v>
      </c>
      <c r="F87" s="11">
        <f t="shared" ref="F87:F88" si="61">SUM(D87:E87)</f>
        <v>3.6134615715654634</v>
      </c>
      <c r="G87" s="200">
        <f t="shared" si="47"/>
        <v>5.0394903057512375E-2</v>
      </c>
      <c r="I87" s="11" t="str">
        <f>I76</f>
        <v>Associate professional occupations</v>
      </c>
      <c r="J87" s="11">
        <v>50.941953515782558</v>
      </c>
      <c r="K87" s="11">
        <v>31.198078852004592</v>
      </c>
      <c r="L87" s="11">
        <v>-19.743874663777966</v>
      </c>
      <c r="M87" s="11">
        <v>16.179167418880251</v>
      </c>
      <c r="N87" s="11">
        <v>-3.5647072448977157</v>
      </c>
      <c r="P87" s="11"/>
      <c r="Q87" s="11"/>
      <c r="R87" s="11"/>
      <c r="S87" s="11"/>
      <c r="T87" s="11"/>
      <c r="U87" s="11"/>
    </row>
    <row r="88" spans="1:30" x14ac:dyDescent="0.2">
      <c r="A88" t="str">
        <f t="shared" si="44"/>
        <v>82 Transport and mobile machine drivers and operatives</v>
      </c>
      <c r="B88" s="11">
        <v>1.6105694169877729</v>
      </c>
      <c r="C88" s="11">
        <v>4.1216997496295491</v>
      </c>
      <c r="D88" s="11">
        <f t="shared" si="60"/>
        <v>2.511130332641776</v>
      </c>
      <c r="E88" s="11">
        <v>1.7812542770727875</v>
      </c>
      <c r="F88" s="11">
        <f t="shared" si="61"/>
        <v>4.2923846097145635</v>
      </c>
      <c r="G88" s="200">
        <f t="shared" si="47"/>
        <v>5.0905314038863114E-2</v>
      </c>
      <c r="I88" s="11" t="str">
        <f>I77</f>
        <v>Administrative and secretarial occupations</v>
      </c>
      <c r="J88" s="11">
        <v>65.420033112787337</v>
      </c>
      <c r="K88" s="11">
        <v>26.529605444630313</v>
      </c>
      <c r="L88" s="11">
        <v>-38.890427668157031</v>
      </c>
      <c r="M88" s="11">
        <v>19.616289504497285</v>
      </c>
      <c r="N88" s="11">
        <v>-19.274138163659746</v>
      </c>
      <c r="P88" s="11"/>
      <c r="Q88" s="11"/>
      <c r="R88" s="11"/>
      <c r="S88" s="11"/>
      <c r="T88" s="11"/>
      <c r="U88" s="11"/>
    </row>
    <row r="89" spans="1:30" x14ac:dyDescent="0.2">
      <c r="A89" t="str">
        <f t="shared" si="44"/>
        <v>91 Elementary trades and related occupations</v>
      </c>
      <c r="B89" s="11">
        <v>0.7206088360825198</v>
      </c>
      <c r="C89" s="11">
        <v>1.7136107549673969</v>
      </c>
      <c r="D89" s="11">
        <f t="shared" si="45"/>
        <v>0.9930019188848771</v>
      </c>
      <c r="E89" s="11">
        <v>0.53529585522310708</v>
      </c>
      <c r="F89" s="11">
        <f t="shared" si="46"/>
        <v>1.5282977741079842</v>
      </c>
      <c r="G89" s="200">
        <f t="shared" si="47"/>
        <v>3.772864898439976E-2</v>
      </c>
      <c r="I89" s="11" t="str">
        <f t="shared" ref="I89:I93" si="62">I78</f>
        <v>Skilled trades occupations</v>
      </c>
      <c r="J89" s="11">
        <v>77.891078253449891</v>
      </c>
      <c r="K89" s="11">
        <v>65.547224987596266</v>
      </c>
      <c r="L89" s="11">
        <v>-12.343853265853626</v>
      </c>
      <c r="M89" s="11">
        <v>32.274893961993705</v>
      </c>
      <c r="N89" s="11">
        <v>19.93104069614008</v>
      </c>
      <c r="P89" s="11"/>
      <c r="Q89" s="11"/>
      <c r="R89" s="11"/>
      <c r="S89" s="11"/>
      <c r="T89" s="11"/>
      <c r="U89" s="11"/>
    </row>
    <row r="90" spans="1:30" x14ac:dyDescent="0.2">
      <c r="A90" t="str">
        <f t="shared" si="44"/>
        <v>92 Elementary administration and service occupations</v>
      </c>
      <c r="B90" s="11">
        <v>6.3499737298212722</v>
      </c>
      <c r="C90" s="11">
        <v>18.972809231222179</v>
      </c>
      <c r="D90" s="11">
        <f t="shared" ref="D90" si="63">C90-B90</f>
        <v>12.622835501400907</v>
      </c>
      <c r="E90" s="11">
        <v>7.0785097085146829</v>
      </c>
      <c r="F90" s="11">
        <f t="shared" ref="F90" si="64">SUM(D90:E90)</f>
        <v>19.701345209915591</v>
      </c>
      <c r="G90" s="200">
        <f t="shared" ref="G90" si="65">IF(B90&gt;0,(1+(E90/B90))^(1/($C$6-$B$6))-1,0)</f>
        <v>5.1195926512984657E-2</v>
      </c>
      <c r="I90" s="11" t="str">
        <f t="shared" si="62"/>
        <v>Caring, leisure and other service occupations</v>
      </c>
      <c r="J90" s="11">
        <v>67.360861131163645</v>
      </c>
      <c r="K90" s="11">
        <v>49.09680957499949</v>
      </c>
      <c r="L90" s="11">
        <v>-18.264051556164155</v>
      </c>
      <c r="M90" s="11">
        <v>30.11598337137956</v>
      </c>
      <c r="N90" s="11">
        <v>11.851931815215403</v>
      </c>
      <c r="P90" s="11"/>
      <c r="Q90" s="11"/>
      <c r="R90" s="11"/>
      <c r="S90" s="11"/>
      <c r="T90" s="11"/>
      <c r="U90" s="11"/>
    </row>
    <row r="91" spans="1:30" x14ac:dyDescent="0.2">
      <c r="A91" t="str">
        <f t="shared" si="44"/>
        <v>All occupations</v>
      </c>
      <c r="B91" s="11">
        <f>SUM(B65:B90)</f>
        <v>327.95542549331321</v>
      </c>
      <c r="C91" s="11">
        <f t="shared" ref="C91:F91" si="66">SUM(C65:C90)</f>
        <v>636.98770723168127</v>
      </c>
      <c r="D91" s="11">
        <f t="shared" si="66"/>
        <v>309.03228173836783</v>
      </c>
      <c r="E91" s="11">
        <f t="shared" si="66"/>
        <v>245.02143460132532</v>
      </c>
      <c r="F91" s="11">
        <f t="shared" si="66"/>
        <v>554.05371633969332</v>
      </c>
      <c r="G91" s="200">
        <f t="shared" si="47"/>
        <v>3.7898340469856517E-2</v>
      </c>
      <c r="I91" s="11" t="str">
        <f t="shared" si="62"/>
        <v>Sales and customer service occupations</v>
      </c>
      <c r="J91" s="11">
        <v>63.135857189387941</v>
      </c>
      <c r="K91" s="11">
        <v>45.939926494195674</v>
      </c>
      <c r="L91" s="11">
        <v>-17.195930695192263</v>
      </c>
      <c r="M91" s="11">
        <v>25.991395023672201</v>
      </c>
      <c r="N91" s="11">
        <v>8.7954643284799374</v>
      </c>
      <c r="P91" s="11"/>
      <c r="Q91" s="11"/>
      <c r="R91" s="11"/>
      <c r="S91" s="11"/>
      <c r="T91" s="11"/>
      <c r="U91" s="1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43.353395773356247</v>
      </c>
      <c r="K92" s="11">
        <v>45.752304504995976</v>
      </c>
      <c r="L92" s="11">
        <v>2.3989087316397253</v>
      </c>
      <c r="M92" s="11">
        <v>23.411322501931416</v>
      </c>
      <c r="N92" s="11">
        <v>25.810231233571141</v>
      </c>
      <c r="P92" s="11"/>
      <c r="Q92" s="11"/>
      <c r="R92" s="11"/>
      <c r="S92" s="11"/>
      <c r="T92" s="11"/>
      <c r="U92" s="11"/>
    </row>
    <row r="93" spans="1:30" ht="38.25" x14ac:dyDescent="0.2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83.950543088931951</v>
      </c>
      <c r="K93" s="11">
        <v>69.004276966300083</v>
      </c>
      <c r="L93" s="11">
        <v>-14.946266122631869</v>
      </c>
      <c r="M93" s="11">
        <v>38.205202789922438</v>
      </c>
      <c r="N93" s="11">
        <v>23.25893666729057</v>
      </c>
      <c r="P93" s="11"/>
      <c r="Q93" s="11"/>
      <c r="R93" s="11"/>
      <c r="S93" s="11"/>
      <c r="T93" s="11"/>
      <c r="U93" s="11"/>
    </row>
    <row r="94" spans="1:30" x14ac:dyDescent="0.2">
      <c r="A94" t="str">
        <f t="shared" ref="A94:A120" si="68">A7</f>
        <v>11 Corporate managers and directors</v>
      </c>
      <c r="B94" s="11">
        <v>60.40572643696909</v>
      </c>
      <c r="C94" s="11">
        <v>67.506666849647374</v>
      </c>
      <c r="D94" s="11">
        <f>C94-B94</f>
        <v>7.100940412678284</v>
      </c>
      <c r="E94" s="11">
        <v>37.2814970295602</v>
      </c>
      <c r="F94" s="11">
        <f>SUM(D94:E94)</f>
        <v>44.382437442238484</v>
      </c>
      <c r="G94" s="200">
        <f>IF(B94&gt;0,(1+(E94/B94))^(1/($C$6-$B$6))-1,0)</f>
        <v>3.2564786629046161E-2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2">
      <c r="A95" t="str">
        <f t="shared" si="68"/>
        <v>12 Other managers and proprietors</v>
      </c>
      <c r="B95" s="11">
        <v>25.199174418208287</v>
      </c>
      <c r="C95" s="11">
        <v>42.487873230325114</v>
      </c>
      <c r="D95" s="11">
        <f t="shared" ref="D95:D118" si="69">C95-B95</f>
        <v>17.288698812116827</v>
      </c>
      <c r="E95" s="11">
        <v>24.834979326023038</v>
      </c>
      <c r="F95" s="11">
        <f t="shared" ref="F95:F118" si="70">SUM(D95:E95)</f>
        <v>42.123678138139866</v>
      </c>
      <c r="G95" s="200">
        <f t="shared" ref="G95:G120" si="71">IF(B95&gt;0,(1+(E95/B95))^(1/($C$6-$B$6))-1,0)</f>
        <v>4.6787873884391651E-2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2">
      <c r="A96" t="str">
        <f t="shared" si="68"/>
        <v>21 Science, research, engineering and technology professionals</v>
      </c>
      <c r="B96" s="11">
        <v>54.441300571253528</v>
      </c>
      <c r="C96" s="11">
        <v>59.02543647904367</v>
      </c>
      <c r="D96" s="11">
        <f t="shared" si="69"/>
        <v>4.5841359077901416</v>
      </c>
      <c r="E96" s="11">
        <v>23.593264538985338</v>
      </c>
      <c r="F96" s="11">
        <f t="shared" si="70"/>
        <v>28.177400446775479</v>
      </c>
      <c r="G96" s="200">
        <f t="shared" si="71"/>
        <v>2.4292284767446271E-2</v>
      </c>
      <c r="I96" s="11" t="str">
        <f>I85</f>
        <v>Managers, directors and senior officials</v>
      </c>
      <c r="J96" s="11">
        <f t="array" ref="J96:J104">MMULT(aggregation!$B$38:$AA$46,B239:B264)</f>
        <v>37.778677365870315</v>
      </c>
      <c r="K96" s="11">
        <f t="array" ref="K96:K104">MMULT(aggregation!$B$38:$AA$46,C239:C264)</f>
        <v>31.508766221364546</v>
      </c>
      <c r="L96" s="11">
        <f t="array" ref="L96:L104">MMULT(aggregation!$B$38:$AA$46,D239:D264)</f>
        <v>-6.2699111445057714</v>
      </c>
      <c r="M96" s="11">
        <f t="array" ref="M96:M104">MMULT(aggregation!$B$38:$AA$46,E239:E264)</f>
        <v>14.230566671080902</v>
      </c>
      <c r="N96" s="11">
        <f t="array" ref="N96:N104">MMULT(aggregation!$B$38:$AA$46,F239:F264)</f>
        <v>7.9606555265751311</v>
      </c>
      <c r="P96" s="11"/>
      <c r="Q96" s="11"/>
      <c r="R96" s="11"/>
      <c r="S96" s="11"/>
      <c r="T96" s="11"/>
      <c r="U96" s="11"/>
    </row>
    <row r="97" spans="1:21" x14ac:dyDescent="0.2">
      <c r="A97" t="str">
        <f t="shared" si="68"/>
        <v>22 Health professionals</v>
      </c>
      <c r="B97" s="11">
        <v>49.098990872473628</v>
      </c>
      <c r="C97" s="11">
        <v>63.022227725953222</v>
      </c>
      <c r="D97" s="11">
        <f t="shared" si="69"/>
        <v>13.923236853479594</v>
      </c>
      <c r="E97" s="11">
        <v>34.087105653946615</v>
      </c>
      <c r="F97" s="11">
        <f t="shared" si="70"/>
        <v>48.010342507426209</v>
      </c>
      <c r="G97" s="200">
        <f t="shared" si="71"/>
        <v>3.5774493227844539E-2</v>
      </c>
      <c r="I97" s="11" t="str">
        <f>I86</f>
        <v>Professional occupations</v>
      </c>
      <c r="J97" s="11">
        <v>31.532336117423451</v>
      </c>
      <c r="K97" s="11">
        <v>22.689026039843689</v>
      </c>
      <c r="L97" s="11">
        <v>-8.843310077579762</v>
      </c>
      <c r="M97" s="11">
        <v>9.179274152388146</v>
      </c>
      <c r="N97" s="11">
        <v>0.33596407480838519</v>
      </c>
      <c r="P97" s="11"/>
      <c r="Q97" s="11"/>
      <c r="R97" s="11"/>
      <c r="S97" s="11"/>
      <c r="T97" s="11"/>
      <c r="U97" s="11"/>
    </row>
    <row r="98" spans="1:21" x14ac:dyDescent="0.2">
      <c r="A98" t="str">
        <f t="shared" si="68"/>
        <v>23 Teaching and other educational professionals</v>
      </c>
      <c r="B98" s="11">
        <v>39.206371113795001</v>
      </c>
      <c r="C98" s="11">
        <v>26.941324576641843</v>
      </c>
      <c r="D98" s="11">
        <f t="shared" ref="D98" si="72">C98-B98</f>
        <v>-12.265046537153157</v>
      </c>
      <c r="E98" s="11">
        <v>17.604935821092358</v>
      </c>
      <c r="F98" s="11">
        <f t="shared" ref="F98" si="73">SUM(D98:E98)</f>
        <v>5.3398892839392005</v>
      </c>
      <c r="G98" s="200">
        <f t="shared" si="71"/>
        <v>2.5034640174171008E-2</v>
      </c>
      <c r="I98" s="11" t="str">
        <f>I87</f>
        <v>Associate professional occupations</v>
      </c>
      <c r="J98" s="11">
        <v>32.310064712595491</v>
      </c>
      <c r="K98" s="11">
        <v>21.884797097000536</v>
      </c>
      <c r="L98" s="11">
        <v>-10.425267615594947</v>
      </c>
      <c r="M98" s="11">
        <v>8.4995764575266257</v>
      </c>
      <c r="N98" s="11">
        <v>-1.9256911580683236</v>
      </c>
      <c r="P98" s="11"/>
      <c r="Q98" s="11"/>
      <c r="R98" s="11"/>
      <c r="S98" s="11"/>
      <c r="T98" s="11"/>
      <c r="U98" s="11"/>
    </row>
    <row r="99" spans="1:21" x14ac:dyDescent="0.2">
      <c r="A99" t="str">
        <f t="shared" si="68"/>
        <v>24 Business, media and public service professionals</v>
      </c>
      <c r="B99" s="11">
        <v>68.204122559371683</v>
      </c>
      <c r="C99" s="11">
        <v>79.246361446957806</v>
      </c>
      <c r="D99" s="11">
        <f t="shared" si="69"/>
        <v>11.042238887586123</v>
      </c>
      <c r="E99" s="11">
        <v>40.259765919607446</v>
      </c>
      <c r="F99" s="11">
        <f t="shared" si="70"/>
        <v>51.302004807193569</v>
      </c>
      <c r="G99" s="200">
        <f t="shared" si="71"/>
        <v>3.1410708866950854E-2</v>
      </c>
      <c r="I99" s="11" t="str">
        <f>I88</f>
        <v>Administrative and secretarial occupations</v>
      </c>
      <c r="J99" s="11">
        <v>40.283290342481685</v>
      </c>
      <c r="K99" s="11">
        <v>9.4116595931452451</v>
      </c>
      <c r="L99" s="11">
        <v>-30.87163074933644</v>
      </c>
      <c r="M99" s="11">
        <v>7.5339880956120568</v>
      </c>
      <c r="N99" s="11">
        <v>-23.337642653724384</v>
      </c>
      <c r="P99" s="11"/>
      <c r="Q99" s="11"/>
      <c r="R99" s="11"/>
      <c r="S99" s="11"/>
      <c r="T99" s="11"/>
      <c r="U99" s="11"/>
    </row>
    <row r="100" spans="1:21" x14ac:dyDescent="0.2">
      <c r="A100" t="str">
        <f t="shared" si="68"/>
        <v>31 Science, engineering and technology associate professionals</v>
      </c>
      <c r="B100" s="11">
        <v>13.979883171258711</v>
      </c>
      <c r="C100" s="11">
        <v>14.199143413899312</v>
      </c>
      <c r="D100" s="11">
        <f t="shared" si="69"/>
        <v>0.21926024264060118</v>
      </c>
      <c r="E100" s="11">
        <v>6.276409699871432</v>
      </c>
      <c r="F100" s="11">
        <f t="shared" si="70"/>
        <v>6.4956699425120332</v>
      </c>
      <c r="G100" s="200">
        <f t="shared" si="71"/>
        <v>2.5031224406010022E-2</v>
      </c>
      <c r="I100" s="11" t="str">
        <f t="shared" ref="I100:I104" si="74">I89</f>
        <v>Skilled trades occupations</v>
      </c>
      <c r="J100" s="11">
        <v>47.423076217032026</v>
      </c>
      <c r="K100" s="11">
        <v>40.500665898386316</v>
      </c>
      <c r="L100" s="11">
        <v>-6.9224103186457056</v>
      </c>
      <c r="M100" s="11">
        <v>16.294485023072347</v>
      </c>
      <c r="N100" s="11">
        <v>9.372074704426641</v>
      </c>
      <c r="P100" s="11"/>
      <c r="Q100" s="11"/>
      <c r="R100" s="11"/>
      <c r="S100" s="11"/>
      <c r="T100" s="11"/>
      <c r="U100" s="11"/>
    </row>
    <row r="101" spans="1:21" x14ac:dyDescent="0.2">
      <c r="A101" t="str">
        <f t="shared" si="68"/>
        <v>32 Health and social care associate professionals</v>
      </c>
      <c r="B101" s="11">
        <v>17.405654070293693</v>
      </c>
      <c r="C101" s="11">
        <v>24.709190376200716</v>
      </c>
      <c r="D101" s="11">
        <f t="shared" si="69"/>
        <v>7.3035363059070235</v>
      </c>
      <c r="E101" s="11">
        <v>13.867275115615426</v>
      </c>
      <c r="F101" s="11">
        <f t="shared" si="70"/>
        <v>21.170811421522451</v>
      </c>
      <c r="G101" s="200">
        <f t="shared" si="71"/>
        <v>3.9836874496358421E-2</v>
      </c>
      <c r="I101" s="11" t="str">
        <f t="shared" si="74"/>
        <v>Caring, leisure and other service occupations</v>
      </c>
      <c r="J101" s="11">
        <v>20.723281008579793</v>
      </c>
      <c r="K101" s="11">
        <v>19.041897967703591</v>
      </c>
      <c r="L101" s="11">
        <v>-1.6813830408762038</v>
      </c>
      <c r="M101" s="11">
        <v>6.9386843932336957</v>
      </c>
      <c r="N101" s="11">
        <v>5.2573013523574916</v>
      </c>
      <c r="P101" s="11"/>
      <c r="Q101" s="11"/>
      <c r="R101" s="11"/>
      <c r="S101" s="11"/>
      <c r="T101" s="11"/>
      <c r="U101" s="11"/>
    </row>
    <row r="102" spans="1:21" x14ac:dyDescent="0.2">
      <c r="A102" t="str">
        <f t="shared" si="68"/>
        <v>33 Protective service occupations</v>
      </c>
      <c r="B102" s="11">
        <v>5.1152319471523189</v>
      </c>
      <c r="C102" s="11">
        <v>9.7050093420473758</v>
      </c>
      <c r="D102" s="11">
        <f t="shared" si="69"/>
        <v>4.5897773948950569</v>
      </c>
      <c r="E102" s="11">
        <v>3.3275040012979078</v>
      </c>
      <c r="F102" s="11">
        <f t="shared" si="70"/>
        <v>7.9172813961929647</v>
      </c>
      <c r="G102" s="200">
        <f t="shared" si="71"/>
        <v>3.3969810015863411E-2</v>
      </c>
      <c r="I102" s="11" t="str">
        <f t="shared" si="74"/>
        <v>Sales and customer service occupations</v>
      </c>
      <c r="J102" s="11">
        <v>43.708875454377377</v>
      </c>
      <c r="K102" s="11">
        <v>16.056428387495789</v>
      </c>
      <c r="L102" s="11">
        <v>-27.652447066881592</v>
      </c>
      <c r="M102" s="11">
        <v>10.184896609929385</v>
      </c>
      <c r="N102" s="11">
        <v>-17.467550456952203</v>
      </c>
      <c r="P102" s="11"/>
      <c r="Q102" s="11"/>
      <c r="R102" s="11"/>
      <c r="S102" s="11"/>
      <c r="T102" s="11"/>
      <c r="U102" s="11"/>
    </row>
    <row r="103" spans="1:21" x14ac:dyDescent="0.2">
      <c r="A103" t="str">
        <f t="shared" si="68"/>
        <v>34 Culture, media and sports occupations</v>
      </c>
      <c r="B103" s="11">
        <v>22.382582359197023</v>
      </c>
      <c r="C103" s="11">
        <v>25.769710251164646</v>
      </c>
      <c r="D103" s="11">
        <f t="shared" ref="D103:D104" si="75">C103-B103</f>
        <v>3.3871278919676229</v>
      </c>
      <c r="E103" s="11">
        <v>12.461561056231197</v>
      </c>
      <c r="F103" s="11">
        <f t="shared" ref="F103:F104" si="76">SUM(D103:E103)</f>
        <v>15.84868894819882</v>
      </c>
      <c r="G103" s="200">
        <f t="shared" si="71"/>
        <v>2.9946438310247903E-2</v>
      </c>
      <c r="I103" s="11" t="str">
        <f t="shared" si="74"/>
        <v>Process, plant and machine operatives</v>
      </c>
      <c r="J103" s="11">
        <v>34.803403350233893</v>
      </c>
      <c r="K103" s="11">
        <v>22.320312381153158</v>
      </c>
      <c r="L103" s="11">
        <v>-12.483090969080733</v>
      </c>
      <c r="M103" s="11">
        <v>11.736133201942382</v>
      </c>
      <c r="N103" s="11">
        <v>-0.74695776713835116</v>
      </c>
      <c r="P103" s="11"/>
      <c r="Q103" s="11"/>
      <c r="R103" s="11"/>
      <c r="S103" s="11"/>
      <c r="T103" s="11"/>
      <c r="U103" s="11"/>
    </row>
    <row r="104" spans="1:21" x14ac:dyDescent="0.2">
      <c r="A104" t="str">
        <f t="shared" si="68"/>
        <v>35 Business and public service associate professionals</v>
      </c>
      <c r="B104" s="11">
        <v>45.439208545511313</v>
      </c>
      <c r="C104" s="11">
        <v>48.276174727083742</v>
      </c>
      <c r="D104" s="11">
        <f t="shared" si="75"/>
        <v>2.8369661815724285</v>
      </c>
      <c r="E104" s="11">
        <v>24.795497715368416</v>
      </c>
      <c r="F104" s="11">
        <f t="shared" si="76"/>
        <v>27.632463896940845</v>
      </c>
      <c r="G104" s="200">
        <f t="shared" si="71"/>
        <v>2.9456659721861067E-2</v>
      </c>
      <c r="I104" s="11" t="str">
        <f t="shared" si="74"/>
        <v>Elementary occupations</v>
      </c>
      <c r="J104" s="11">
        <v>78.416850129354216</v>
      </c>
      <c r="K104" s="11">
        <v>56.93106773067548</v>
      </c>
      <c r="L104" s="11">
        <v>-21.485782398678737</v>
      </c>
      <c r="M104" s="11">
        <v>25.068484790840241</v>
      </c>
      <c r="N104" s="11">
        <v>3.5827023921615035</v>
      </c>
      <c r="P104" s="11"/>
      <c r="Q104" s="11"/>
      <c r="R104" s="11"/>
      <c r="S104" s="11"/>
      <c r="T104" s="11"/>
      <c r="U104" s="11"/>
    </row>
    <row r="105" spans="1:21" x14ac:dyDescent="0.2">
      <c r="A105" t="str">
        <f t="shared" si="68"/>
        <v>41 Administrative occupations</v>
      </c>
      <c r="B105" s="11">
        <v>46.598602866245891</v>
      </c>
      <c r="C105" s="11">
        <v>57.498702951271547</v>
      </c>
      <c r="D105" s="11">
        <f t="shared" si="69"/>
        <v>10.900100085025656</v>
      </c>
      <c r="E105" s="11">
        <v>30.566958840675532</v>
      </c>
      <c r="F105" s="11">
        <f t="shared" si="70"/>
        <v>41.467058925701188</v>
      </c>
      <c r="G105" s="200">
        <f t="shared" si="71"/>
        <v>3.4197241561446212E-2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2">
      <c r="A106" t="str">
        <f t="shared" si="68"/>
        <v>42 Secretarial and related occupations</v>
      </c>
      <c r="B106" s="11">
        <v>8.0756080210196064</v>
      </c>
      <c r="C106" s="11">
        <v>22.301527552357619</v>
      </c>
      <c r="D106" s="11">
        <f t="shared" si="69"/>
        <v>14.225919531338013</v>
      </c>
      <c r="E106" s="11">
        <v>9.1577123288421625</v>
      </c>
      <c r="F106" s="11">
        <f t="shared" si="70"/>
        <v>23.383631860180174</v>
      </c>
      <c r="G106" s="200">
        <f t="shared" si="71"/>
        <v>5.1831683768783554E-2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2">
      <c r="A107" t="str">
        <f t="shared" si="68"/>
        <v>51 Skilled agricultural and related trades</v>
      </c>
      <c r="B107" s="11">
        <v>5.5310699511760113</v>
      </c>
      <c r="C107" s="11">
        <v>9.4117803292325721</v>
      </c>
      <c r="D107" s="11">
        <f t="shared" si="69"/>
        <v>3.8807103780565608</v>
      </c>
      <c r="E107" s="11">
        <v>5.0741555059351064</v>
      </c>
      <c r="F107" s="11">
        <f t="shared" si="70"/>
        <v>8.9548658839916673</v>
      </c>
      <c r="G107" s="200">
        <f t="shared" si="71"/>
        <v>4.4353156341620625E-2</v>
      </c>
      <c r="I107" s="11" t="str">
        <f>I96</f>
        <v>Managers, directors and senior officials</v>
      </c>
      <c r="J107" s="11">
        <f t="array" ref="J107:J115">MMULT(aggregation!$B$38:$AA$46,B268:B293)</f>
        <v>7.7026756213309753</v>
      </c>
      <c r="K107" s="11">
        <f t="array" ref="K107:K115">MMULT(aggregation!$B$38:$AA$46,C268:C293)</f>
        <v>6.2784369220056009</v>
      </c>
      <c r="L107" s="11">
        <f t="array" ref="L107:L115">MMULT(aggregation!$B$38:$AA$46,D268:D293)</f>
        <v>-1.4242386993253748</v>
      </c>
      <c r="M107" s="11">
        <f t="array" ref="M107:M115">MMULT(aggregation!$B$38:$AA$46,E268:E293)</f>
        <v>2.4484513633574592</v>
      </c>
      <c r="N107" s="11">
        <f t="array" ref="N107:N115">MMULT(aggregation!$B$38:$AA$46,F268:F293)</f>
        <v>1.0242126640320846</v>
      </c>
      <c r="P107" s="11"/>
      <c r="Q107" s="11"/>
      <c r="R107" s="11"/>
      <c r="S107" s="11"/>
      <c r="T107" s="11"/>
      <c r="U107" s="11"/>
    </row>
    <row r="108" spans="1:21" x14ac:dyDescent="0.2">
      <c r="A108" t="str">
        <f t="shared" si="68"/>
        <v>52 Skilled metal, electrical and electronic trades</v>
      </c>
      <c r="B108" s="11">
        <v>5.1666668317259354</v>
      </c>
      <c r="C108" s="11">
        <v>9.3145636134723215</v>
      </c>
      <c r="D108" s="11">
        <f t="shared" si="69"/>
        <v>4.1478967817463861</v>
      </c>
      <c r="E108" s="11">
        <v>3.9848119822117232</v>
      </c>
      <c r="F108" s="11">
        <f t="shared" si="70"/>
        <v>8.1327087639581102</v>
      </c>
      <c r="G108" s="200">
        <f t="shared" si="71"/>
        <v>3.8848111815946051E-2</v>
      </c>
      <c r="I108" s="11" t="str">
        <f>I97</f>
        <v>Professional occupations</v>
      </c>
      <c r="J108" s="11">
        <v>5.7344591659133641</v>
      </c>
      <c r="K108" s="11">
        <v>5.5575953800602802</v>
      </c>
      <c r="L108" s="11">
        <v>-0.17686378585308282</v>
      </c>
      <c r="M108" s="11">
        <v>2.1097457541828488</v>
      </c>
      <c r="N108" s="11">
        <v>1.9328819683297662</v>
      </c>
      <c r="P108" s="84"/>
      <c r="Q108" s="73"/>
      <c r="R108" s="73"/>
      <c r="S108" s="71"/>
      <c r="T108" s="71"/>
      <c r="U108" s="71"/>
    </row>
    <row r="109" spans="1:21" x14ac:dyDescent="0.2">
      <c r="A109" t="str">
        <f t="shared" si="68"/>
        <v>53 Skilled construction and building trades</v>
      </c>
      <c r="B109" s="11">
        <v>3.1101757185238696</v>
      </c>
      <c r="C109" s="11">
        <v>5.4123620625598257</v>
      </c>
      <c r="D109" s="11">
        <f t="shared" ref="D109" si="77">C109-B109</f>
        <v>2.302186344035956</v>
      </c>
      <c r="E109" s="11">
        <v>2.4186748082539933</v>
      </c>
      <c r="F109" s="11">
        <f t="shared" ref="F109" si="78">SUM(D109:E109)</f>
        <v>4.7208611522899488</v>
      </c>
      <c r="G109" s="200">
        <f t="shared" si="71"/>
        <v>3.9098365061317253E-2</v>
      </c>
      <c r="I109" s="11" t="str">
        <f>I98</f>
        <v>Associate professional occupations</v>
      </c>
      <c r="J109" s="11">
        <v>5.7759021288303938</v>
      </c>
      <c r="K109" s="11">
        <v>4.4624317444061639</v>
      </c>
      <c r="L109" s="11">
        <v>-1.3134703844242295</v>
      </c>
      <c r="M109" s="11">
        <v>1.6877202414833676</v>
      </c>
      <c r="N109" s="11">
        <v>0.37424985705913805</v>
      </c>
      <c r="P109" s="11"/>
      <c r="Q109" s="11"/>
      <c r="R109" s="11"/>
      <c r="S109" s="11"/>
      <c r="T109" s="11"/>
      <c r="U109" s="11"/>
    </row>
    <row r="110" spans="1:21" x14ac:dyDescent="0.2">
      <c r="A110" t="str">
        <f t="shared" si="68"/>
        <v>54 Textiles, printing and other skilled trades</v>
      </c>
      <c r="B110" s="11">
        <v>4.699482908549018</v>
      </c>
      <c r="C110" s="11">
        <v>6.9110982277143984</v>
      </c>
      <c r="D110" s="11">
        <f t="shared" si="69"/>
        <v>2.2116153191653805</v>
      </c>
      <c r="E110" s="11">
        <v>3.615830735248958</v>
      </c>
      <c r="F110" s="11">
        <f t="shared" si="70"/>
        <v>5.8274460544143381</v>
      </c>
      <c r="G110" s="200">
        <f t="shared" si="71"/>
        <v>3.877599270020049E-2</v>
      </c>
      <c r="I110" s="11" t="str">
        <f>I99</f>
        <v>Administrative and secretarial occupations</v>
      </c>
      <c r="J110" s="11">
        <v>6.8287495160870337</v>
      </c>
      <c r="K110" s="11">
        <v>2.1173040236491008</v>
      </c>
      <c r="L110" s="11">
        <v>-4.7114454924379325</v>
      </c>
      <c r="M110" s="11">
        <v>1.4853609950840299</v>
      </c>
      <c r="N110" s="11">
        <v>-3.2260844973539031</v>
      </c>
      <c r="P110" s="11"/>
      <c r="Q110" s="11"/>
      <c r="R110" s="11"/>
      <c r="S110" s="11"/>
      <c r="T110" s="11"/>
      <c r="U110" s="11"/>
    </row>
    <row r="111" spans="1:21" x14ac:dyDescent="0.2">
      <c r="A111" t="str">
        <f t="shared" si="68"/>
        <v>61 Caring personal service occupations</v>
      </c>
      <c r="B111" s="11">
        <v>26.105337027792729</v>
      </c>
      <c r="C111" s="11">
        <v>38.987142776509508</v>
      </c>
      <c r="D111" s="11">
        <f>C111-B111</f>
        <v>12.881805748716779</v>
      </c>
      <c r="E111" s="11">
        <v>22.921442810042741</v>
      </c>
      <c r="F111" s="11">
        <f>SUM(D111:E111)</f>
        <v>35.80324855875952</v>
      </c>
      <c r="G111" s="200">
        <f t="shared" si="71"/>
        <v>4.2910254308911044E-2</v>
      </c>
      <c r="I111" s="11" t="str">
        <f t="shared" ref="I111:I115" si="79">I100</f>
        <v>Skilled trades occupations</v>
      </c>
      <c r="J111" s="11">
        <v>21.172934737146583</v>
      </c>
      <c r="K111" s="11">
        <v>6.0128951987176382</v>
      </c>
      <c r="L111" s="11">
        <v>-15.160039538428947</v>
      </c>
      <c r="M111" s="11">
        <v>4.0270438101317545</v>
      </c>
      <c r="N111" s="11">
        <v>-11.132995728297191</v>
      </c>
      <c r="P111" s="11"/>
      <c r="Q111" s="11"/>
      <c r="R111" s="11"/>
      <c r="S111" s="11"/>
      <c r="T111" s="11"/>
      <c r="U111" s="11"/>
    </row>
    <row r="112" spans="1:21" x14ac:dyDescent="0.2">
      <c r="A112" t="str">
        <f t="shared" si="68"/>
        <v>62 Leisure, travel and related personal service occupations</v>
      </c>
      <c r="B112" s="11">
        <v>6.2640532515437037</v>
      </c>
      <c r="C112" s="11">
        <v>11.6022082031698</v>
      </c>
      <c r="D112" s="11">
        <f t="shared" ref="D112:D113" si="80">C112-B112</f>
        <v>5.3381549516260964</v>
      </c>
      <c r="E112" s="11">
        <v>5.9955149908973615</v>
      </c>
      <c r="F112" s="11">
        <f t="shared" ref="F112:F113" si="81">SUM(D112:E112)</f>
        <v>11.333669942523457</v>
      </c>
      <c r="G112" s="200">
        <f t="shared" si="71"/>
        <v>4.5782368775389992E-2</v>
      </c>
      <c r="I112" s="11" t="str">
        <f t="shared" si="79"/>
        <v>Caring, leisure and other service occupations</v>
      </c>
      <c r="J112" s="11">
        <v>4.4333959534737319</v>
      </c>
      <c r="K112" s="11">
        <v>3.3975959998338325</v>
      </c>
      <c r="L112" s="11">
        <v>-1.0357999536398999</v>
      </c>
      <c r="M112" s="11">
        <v>1.271976988812402</v>
      </c>
      <c r="N112" s="11">
        <v>0.23617703517250213</v>
      </c>
      <c r="P112" s="11"/>
      <c r="Q112" s="11"/>
      <c r="R112" s="11"/>
      <c r="S112" s="11"/>
      <c r="T112" s="11"/>
      <c r="U112" s="11"/>
    </row>
    <row r="113" spans="1:21" x14ac:dyDescent="0.2">
      <c r="A113" t="str">
        <f t="shared" si="68"/>
        <v>63 Community and civil enforcement occupations</v>
      </c>
      <c r="B113" s="11">
        <v>0.35978988549557461</v>
      </c>
      <c r="C113" s="11">
        <v>0.47014143529556973</v>
      </c>
      <c r="D113" s="11">
        <f t="shared" si="80"/>
        <v>0.11035154979999512</v>
      </c>
      <c r="E113" s="11">
        <v>0.27282566273492831</v>
      </c>
      <c r="F113" s="11">
        <f t="shared" si="81"/>
        <v>0.38317721253492343</v>
      </c>
      <c r="G113" s="200">
        <f t="shared" si="71"/>
        <v>3.8339544359992095E-2</v>
      </c>
      <c r="I113" s="11" t="str">
        <f t="shared" si="79"/>
        <v>Sales and customer service occupations</v>
      </c>
      <c r="J113" s="11">
        <v>12.338208516374289</v>
      </c>
      <c r="K113" s="11">
        <v>6.6810373093215185</v>
      </c>
      <c r="L113" s="11">
        <v>-5.6571712070527695</v>
      </c>
      <c r="M113" s="11">
        <v>2.5848559757255827</v>
      </c>
      <c r="N113" s="11">
        <v>-3.0723152313271869</v>
      </c>
      <c r="P113" s="11"/>
      <c r="Q113" s="11"/>
      <c r="R113" s="11"/>
      <c r="S113" s="11"/>
      <c r="T113" s="11"/>
      <c r="U113" s="11"/>
    </row>
    <row r="114" spans="1:21" x14ac:dyDescent="0.2">
      <c r="A114" t="str">
        <f t="shared" si="68"/>
        <v>71 Sales occupations</v>
      </c>
      <c r="B114" s="11">
        <v>25.287990193844276</v>
      </c>
      <c r="C114" s="11">
        <v>35.974023992256008</v>
      </c>
      <c r="D114" s="11">
        <f t="shared" si="69"/>
        <v>10.686033798411732</v>
      </c>
      <c r="E114" s="11">
        <v>17.811325787595983</v>
      </c>
      <c r="F114" s="11">
        <f t="shared" si="70"/>
        <v>28.497359586007715</v>
      </c>
      <c r="G114" s="200">
        <f t="shared" si="71"/>
        <v>3.6184450786938882E-2</v>
      </c>
      <c r="I114" s="11" t="str">
        <f t="shared" si="79"/>
        <v>Process, plant and machine operatives</v>
      </c>
      <c r="J114" s="11">
        <v>14.560512051221224</v>
      </c>
      <c r="K114" s="11">
        <v>6.1809295451933357</v>
      </c>
      <c r="L114" s="11">
        <v>-8.379582506027889</v>
      </c>
      <c r="M114" s="11">
        <v>3.4585408104766655</v>
      </c>
      <c r="N114" s="11">
        <v>-4.9210416955512235</v>
      </c>
      <c r="P114" s="11"/>
      <c r="Q114" s="11"/>
      <c r="R114" s="11"/>
      <c r="S114" s="11"/>
      <c r="T114" s="11"/>
      <c r="U114" s="11"/>
    </row>
    <row r="115" spans="1:21" x14ac:dyDescent="0.2">
      <c r="A115" t="str">
        <f t="shared" si="68"/>
        <v>72 Customer service occupations</v>
      </c>
      <c r="B115" s="11">
        <v>8.282541147310889</v>
      </c>
      <c r="C115" s="11">
        <v>16.344727571842007</v>
      </c>
      <c r="D115" s="11">
        <f t="shared" si="69"/>
        <v>8.0621864245311183</v>
      </c>
      <c r="E115" s="11">
        <v>7.0593886234778616</v>
      </c>
      <c r="F115" s="11">
        <f t="shared" si="70"/>
        <v>15.12157504800898</v>
      </c>
      <c r="G115" s="200">
        <f t="shared" si="71"/>
        <v>4.1952111809868464E-2</v>
      </c>
      <c r="I115" s="11" t="str">
        <f t="shared" si="79"/>
        <v>Elementary occupations</v>
      </c>
      <c r="J115" s="11">
        <v>24.461995763231847</v>
      </c>
      <c r="K115" s="11">
        <v>17.336777458465772</v>
      </c>
      <c r="L115" s="11">
        <v>-7.1252183047660766</v>
      </c>
      <c r="M115" s="11">
        <v>5.587795147898829</v>
      </c>
      <c r="N115" s="11">
        <v>-1.5374231568672472</v>
      </c>
      <c r="P115" s="11"/>
      <c r="Q115" s="11"/>
      <c r="R115" s="11"/>
      <c r="S115" s="11"/>
      <c r="T115" s="11"/>
      <c r="U115" s="11"/>
    </row>
    <row r="116" spans="1:21" x14ac:dyDescent="0.2">
      <c r="A116" t="str">
        <f t="shared" si="68"/>
        <v>81 Process, plant and machine operatives</v>
      </c>
      <c r="B116" s="11">
        <v>2.4054012299721714</v>
      </c>
      <c r="C116" s="11">
        <v>7.1029827516008242</v>
      </c>
      <c r="D116" s="11">
        <f t="shared" ref="D116:D117" si="82">C116-B116</f>
        <v>4.6975815216286527</v>
      </c>
      <c r="E116" s="11">
        <v>2.5866701920307618</v>
      </c>
      <c r="F116" s="11">
        <f t="shared" ref="F116:F117" si="83">SUM(D116:E116)</f>
        <v>7.2842517136594145</v>
      </c>
      <c r="G116" s="200">
        <f t="shared" si="71"/>
        <v>4.9879729702433373E-2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2">
      <c r="A117" t="str">
        <f t="shared" si="68"/>
        <v>82 Transport and mobile machine drivers and operatives</v>
      </c>
      <c r="B117" s="11">
        <v>4.1621785696618074</v>
      </c>
      <c r="C117" s="11">
        <v>7.5138492971404824</v>
      </c>
      <c r="D117" s="11">
        <f t="shared" si="82"/>
        <v>3.351670727478675</v>
      </c>
      <c r="E117" s="11">
        <v>4.0571634146403976</v>
      </c>
      <c r="F117" s="11">
        <f t="shared" si="83"/>
        <v>7.4088341421190727</v>
      </c>
      <c r="G117" s="200">
        <f t="shared" si="71"/>
        <v>4.6408092027852454E-2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2">
      <c r="A118" t="str">
        <f t="shared" si="68"/>
        <v>91 Elementary trades and related occupations</v>
      </c>
      <c r="B118" s="11">
        <v>2.0953348485392773</v>
      </c>
      <c r="C118" s="11">
        <v>2.6125236989930132</v>
      </c>
      <c r="D118" s="11">
        <f t="shared" si="69"/>
        <v>0.51718885045373586</v>
      </c>
      <c r="E118" s="11">
        <v>1.3583678539688984</v>
      </c>
      <c r="F118" s="11">
        <f t="shared" si="70"/>
        <v>1.8755567044226342</v>
      </c>
      <c r="G118" s="200">
        <f t="shared" si="71"/>
        <v>3.3876746860079132E-2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2">
      <c r="A119" t="str">
        <f t="shared" si="68"/>
        <v>92 Elementary administration and service occupations</v>
      </c>
      <c r="B119" s="11">
        <v>20.647866284682429</v>
      </c>
      <c r="C119" s="11">
        <v>35.90695281863956</v>
      </c>
      <c r="D119" s="11">
        <f t="shared" ref="D119" si="84">C119-B119</f>
        <v>15.259086533957131</v>
      </c>
      <c r="E119" s="11">
        <v>19.438097019854951</v>
      </c>
      <c r="F119" s="11">
        <f t="shared" ref="F119" si="85">SUM(D119:E119)</f>
        <v>34.697183553812081</v>
      </c>
      <c r="G119" s="200">
        <f t="shared" ref="G119" si="86">IF(B119&gt;0,(1+(E119/B119))^(1/($C$6-$B$6))-1,0)</f>
        <v>4.5220236963757987E-2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2">
      <c r="A120" t="str">
        <f t="shared" si="68"/>
        <v>All occupations</v>
      </c>
      <c r="B120" s="11">
        <f>SUM(B94:B119)</f>
        <v>569.67034480156747</v>
      </c>
      <c r="C120" s="11">
        <f t="shared" ref="C120:F120" si="87">SUM(C94:C119)</f>
        <v>728.25370570101961</v>
      </c>
      <c r="D120" s="11">
        <f t="shared" si="87"/>
        <v>158.58336089945243</v>
      </c>
      <c r="E120" s="11">
        <f t="shared" si="87"/>
        <v>374.70873643401058</v>
      </c>
      <c r="F120" s="11">
        <f t="shared" si="87"/>
        <v>533.29209733346318</v>
      </c>
      <c r="G120" s="200">
        <f t="shared" si="71"/>
        <v>3.4272195807331318E-2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38.25" x14ac:dyDescent="0.2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2">
      <c r="A123" t="str">
        <f t="shared" ref="A123:A149" si="89">A36</f>
        <v>11 Corporate managers and directors</v>
      </c>
      <c r="B123" s="11">
        <v>11.776199386611198</v>
      </c>
      <c r="C123" s="11">
        <v>11.797903171342718</v>
      </c>
      <c r="D123" s="11">
        <f>C123-B123</f>
        <v>2.1703784731519349E-2</v>
      </c>
      <c r="E123" s="11">
        <v>6.1867694656330867</v>
      </c>
      <c r="F123" s="11">
        <f>SUM(D123:E123)</f>
        <v>6.2084732503646061</v>
      </c>
      <c r="G123" s="200">
        <f>IF(B123&gt;0,(1+(E123/B123))^(1/($C$6-$B$6))-1,0)</f>
        <v>2.8548711439813967E-2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2">
      <c r="A124" t="str">
        <f t="shared" si="89"/>
        <v>12 Other managers and proprietors</v>
      </c>
      <c r="B124" s="11">
        <v>7.573088599908198</v>
      </c>
      <c r="C124" s="11">
        <v>11.843335330845383</v>
      </c>
      <c r="D124" s="11">
        <f t="shared" ref="D124:D139" si="90">C124-B124</f>
        <v>4.2702467309371848</v>
      </c>
      <c r="E124" s="11">
        <v>6.6130601954218271</v>
      </c>
      <c r="F124" s="11">
        <f t="shared" ref="F124:F131" si="91">SUM(D124:E124)</f>
        <v>10.883306926359012</v>
      </c>
      <c r="G124" s="200">
        <f t="shared" ref="G124:G149" si="92">IF(B124&gt;0,(1+(E124/B124))^(1/($C$6-$B$6))-1,0)</f>
        <v>4.2732151795641382E-2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2">
      <c r="A125" t="str">
        <f t="shared" si="89"/>
        <v>21 Science, research, engineering and technology professionals</v>
      </c>
      <c r="B125" s="11">
        <v>6.0133702990246976</v>
      </c>
      <c r="C125" s="11">
        <v>6.8154864556138524</v>
      </c>
      <c r="D125" s="11">
        <f t="shared" si="90"/>
        <v>0.80211615658915481</v>
      </c>
      <c r="E125" s="11">
        <v>2.5797101016654902</v>
      </c>
      <c r="F125" s="11">
        <f t="shared" si="91"/>
        <v>3.381826258254645</v>
      </c>
      <c r="G125" s="200">
        <f t="shared" si="92"/>
        <v>2.4083561968037515E-2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2">
      <c r="A126" t="str">
        <f t="shared" si="89"/>
        <v>22 Health professionals</v>
      </c>
      <c r="B126" s="11">
        <v>15.6737813157681</v>
      </c>
      <c r="C126" s="11">
        <v>3.6781077220470073</v>
      </c>
      <c r="D126" s="11">
        <f t="shared" si="90"/>
        <v>-11.995673593721092</v>
      </c>
      <c r="E126" s="11">
        <v>3.2195614476020675</v>
      </c>
      <c r="F126" s="11">
        <f t="shared" si="91"/>
        <v>-8.7761121461190239</v>
      </c>
      <c r="G126" s="200">
        <f t="shared" si="92"/>
        <v>1.2532568517768627E-2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2">
      <c r="A127" t="str">
        <f t="shared" si="89"/>
        <v>23 Teaching and other educational professionals</v>
      </c>
      <c r="B127" s="11">
        <v>3.4655840740062094</v>
      </c>
      <c r="C127" s="11">
        <v>2.6915951837402079</v>
      </c>
      <c r="D127" s="11">
        <f t="shared" si="90"/>
        <v>-0.77398889026600148</v>
      </c>
      <c r="E127" s="11">
        <v>0.93554254190020281</v>
      </c>
      <c r="F127" s="11">
        <f t="shared" si="91"/>
        <v>0.16155365163420132</v>
      </c>
      <c r="G127" s="200">
        <f>IF(B127&gt;0,(1+(E127/B127))^(1/($C$6-$B$6))-1,0)</f>
        <v>1.6059548659124401E-2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2">
      <c r="A128" t="str">
        <f t="shared" si="89"/>
        <v>24 Business, media and public service professionals</v>
      </c>
      <c r="B128" s="11">
        <v>6.3693784009826331</v>
      </c>
      <c r="C128" s="11">
        <v>6.4292663333861251</v>
      </c>
      <c r="D128" s="11">
        <f t="shared" si="90"/>
        <v>5.9887932403491995E-2</v>
      </c>
      <c r="E128" s="11">
        <v>2.4746491362975731</v>
      </c>
      <c r="F128" s="11">
        <f t="shared" si="91"/>
        <v>2.5345370687010651</v>
      </c>
      <c r="G128" s="200">
        <f t="shared" si="92"/>
        <v>2.2123881904823062E-2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2">
      <c r="A129" t="str">
        <f t="shared" si="89"/>
        <v>31 Science, engineering and technology associate professionals</v>
      </c>
      <c r="B129" s="11">
        <v>2.619567171501016</v>
      </c>
      <c r="C129" s="11">
        <v>3.4964502883032229</v>
      </c>
      <c r="D129" s="11">
        <f t="shared" si="90"/>
        <v>0.87688311680220687</v>
      </c>
      <c r="E129" s="11">
        <v>1.4317684008956337</v>
      </c>
      <c r="F129" s="11">
        <f t="shared" si="91"/>
        <v>2.3086515176978404</v>
      </c>
      <c r="G129" s="200">
        <f t="shared" si="92"/>
        <v>2.9495798483450963E-2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2">
      <c r="A130" t="str">
        <f t="shared" si="89"/>
        <v>32 Health and social care associate professionals</v>
      </c>
      <c r="B130" s="11">
        <v>8.6616181194705018</v>
      </c>
      <c r="C130" s="11">
        <v>4.3727692840327537</v>
      </c>
      <c r="D130" s="11">
        <f t="shared" si="90"/>
        <v>-4.2888488354377481</v>
      </c>
      <c r="E130" s="11">
        <v>2.7941135241674555</v>
      </c>
      <c r="F130" s="11">
        <f t="shared" si="91"/>
        <v>-1.4947353112702926</v>
      </c>
      <c r="G130" s="200">
        <f t="shared" si="92"/>
        <v>1.8814037000246309E-2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2">
      <c r="A131" t="str">
        <f t="shared" si="89"/>
        <v>33 Protective service occupations</v>
      </c>
      <c r="B131" s="11">
        <v>1.3734033882784735</v>
      </c>
      <c r="C131" s="11">
        <v>2.584291511749889</v>
      </c>
      <c r="D131" s="11">
        <f t="shared" si="90"/>
        <v>1.2108881234714155</v>
      </c>
      <c r="E131" s="11">
        <v>0.79051159138122618</v>
      </c>
      <c r="F131" s="11">
        <f t="shared" si="91"/>
        <v>2.0013997148526417</v>
      </c>
      <c r="G131" s="200">
        <f t="shared" si="92"/>
        <v>3.0772456738081599E-2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2">
      <c r="A132" t="str">
        <f t="shared" si="89"/>
        <v>34 Culture, media and sports occupations</v>
      </c>
      <c r="B132" s="11">
        <v>2.9180580442792641</v>
      </c>
      <c r="C132" s="11">
        <v>3.8254919302310357</v>
      </c>
      <c r="D132" s="11">
        <f t="shared" si="90"/>
        <v>0.90743388595177166</v>
      </c>
      <c r="E132" s="11">
        <v>1.6920666236891322</v>
      </c>
      <c r="F132" s="11">
        <f t="shared" ref="F132:F133" si="93">SUM(D132:E132)</f>
        <v>2.5995005096409036</v>
      </c>
      <c r="G132" s="200">
        <f t="shared" si="92"/>
        <v>3.0958656516421712E-2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2">
      <c r="A133" t="str">
        <f t="shared" si="89"/>
        <v>35 Business and public service associate professionals</v>
      </c>
      <c r="B133" s="11">
        <v>12.250608215701893</v>
      </c>
      <c r="C133" s="11">
        <v>13.628304812884808</v>
      </c>
      <c r="D133" s="11">
        <f t="shared" si="90"/>
        <v>1.3776965971829149</v>
      </c>
      <c r="E133" s="11">
        <v>6.411345142489842</v>
      </c>
      <c r="F133" s="11">
        <f t="shared" si="93"/>
        <v>7.7890417396727569</v>
      </c>
      <c r="G133" s="200">
        <f t="shared" si="92"/>
        <v>2.8458163790714863E-2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2">
      <c r="A134" t="str">
        <f t="shared" si="89"/>
        <v>41 Administrative occupations</v>
      </c>
      <c r="B134" s="11">
        <v>17.313558133832654</v>
      </c>
      <c r="C134" s="11">
        <v>20.493244264571839</v>
      </c>
      <c r="D134" s="11">
        <f t="shared" si="90"/>
        <v>3.179686130739185</v>
      </c>
      <c r="E134" s="11">
        <v>11.500197121497207</v>
      </c>
      <c r="F134" s="11">
        <f t="shared" ref="F134:F137" si="94">SUM(D134:E134)</f>
        <v>14.679883252236392</v>
      </c>
      <c r="G134" s="200">
        <f t="shared" si="92"/>
        <v>3.4540671227499153E-2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2">
      <c r="A135" t="str">
        <f t="shared" si="89"/>
        <v>42 Secretarial and related occupations</v>
      </c>
      <c r="B135" s="11">
        <v>3.7987545985084266</v>
      </c>
      <c r="C135" s="11">
        <v>6.0484332781630892</v>
      </c>
      <c r="D135" s="11">
        <f t="shared" si="90"/>
        <v>2.2496786796546626</v>
      </c>
      <c r="E135" s="11">
        <v>3.4690676474853377</v>
      </c>
      <c r="F135" s="11">
        <f t="shared" si="94"/>
        <v>5.7187463271399999</v>
      </c>
      <c r="G135" s="200">
        <f t="shared" si="92"/>
        <v>4.4201238245606067E-2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89"/>
        <v>51 Skilled agricultural and related trades</v>
      </c>
      <c r="B136" s="11">
        <v>2.4619134941675234</v>
      </c>
      <c r="C136" s="11">
        <v>4.2319528182058379</v>
      </c>
      <c r="D136" s="11">
        <f t="shared" si="90"/>
        <v>1.7700393240383145</v>
      </c>
      <c r="E136" s="11">
        <v>2.4276031408530265</v>
      </c>
      <c r="F136" s="11">
        <f t="shared" si="94"/>
        <v>4.1976424648913415</v>
      </c>
      <c r="G136" s="200">
        <f t="shared" si="92"/>
        <v>4.68060145888618E-2</v>
      </c>
      <c r="I136" s="11"/>
      <c r="J136" s="11"/>
      <c r="K136" s="11"/>
      <c r="L136" s="11"/>
      <c r="M136" s="11"/>
      <c r="N136" s="11"/>
      <c r="O136" s="70"/>
    </row>
    <row r="137" spans="1:21" x14ac:dyDescent="0.2">
      <c r="A137" t="str">
        <f t="shared" si="89"/>
        <v>52 Skilled metal, electrical and electronic trades</v>
      </c>
      <c r="B137" s="11">
        <v>1.9661025808189201</v>
      </c>
      <c r="C137" s="11">
        <v>2.9201156086921261</v>
      </c>
      <c r="D137" s="11">
        <f t="shared" si="90"/>
        <v>0.95401302787320597</v>
      </c>
      <c r="E137" s="11">
        <v>1.2032742550452693</v>
      </c>
      <c r="F137" s="11">
        <f t="shared" si="94"/>
        <v>2.1572872829184755</v>
      </c>
      <c r="G137" s="200">
        <f t="shared" si="92"/>
        <v>3.2344180060513761E-2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89"/>
        <v>53 Skilled construction and building trades</v>
      </c>
      <c r="B138" s="11">
        <v>2.0561148375141238</v>
      </c>
      <c r="C138" s="11">
        <v>3.6928018258186133</v>
      </c>
      <c r="D138" s="11">
        <f t="shared" si="90"/>
        <v>1.6366869883044894</v>
      </c>
      <c r="E138" s="11">
        <v>1.7777080002647527</v>
      </c>
      <c r="F138" s="11">
        <f t="shared" ref="F138" si="95">SUM(D138:E138)</f>
        <v>3.4143949885692422</v>
      </c>
      <c r="G138" s="200">
        <f t="shared" si="92"/>
        <v>4.2410982233712424E-2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2">
      <c r="A139" t="str">
        <f t="shared" si="89"/>
        <v>54 Textiles, printing and other skilled trades</v>
      </c>
      <c r="B139" s="11">
        <v>2.2353062882513814</v>
      </c>
      <c r="C139" s="11">
        <v>3.4105302518054743</v>
      </c>
      <c r="D139" s="11">
        <f t="shared" si="90"/>
        <v>1.1752239635540929</v>
      </c>
      <c r="E139" s="11">
        <v>1.7837575027956174</v>
      </c>
      <c r="F139" s="11">
        <f t="shared" ref="F139" si="96">SUM(D139:E139)</f>
        <v>2.9589814663497105</v>
      </c>
      <c r="G139" s="200">
        <f t="shared" si="92"/>
        <v>3.9886301629571408E-2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2">
      <c r="A140" t="str">
        <f t="shared" si="89"/>
        <v>61 Caring personal service occupations</v>
      </c>
      <c r="B140" s="11">
        <v>21.209697456867353</v>
      </c>
      <c r="C140" s="11">
        <v>24.711950190641932</v>
      </c>
      <c r="D140" s="11">
        <f>C140-B140</f>
        <v>3.5022527337745792</v>
      </c>
      <c r="E140" s="11">
        <v>14.398321090148398</v>
      </c>
      <c r="F140" s="11">
        <f>SUM(D140:E140)</f>
        <v>17.900573823922976</v>
      </c>
      <c r="G140" s="200">
        <f t="shared" si="92"/>
        <v>3.5144285435034561E-2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2">
      <c r="A141" t="str">
        <f t="shared" si="89"/>
        <v>62 Leisure, travel and related personal service occupations</v>
      </c>
      <c r="B141" s="11">
        <v>4.0236131855596415</v>
      </c>
      <c r="C141" s="11">
        <v>7.0382639032261887</v>
      </c>
      <c r="D141" s="11">
        <f t="shared" ref="D141:D147" si="97">C141-B141</f>
        <v>3.0146507176665471</v>
      </c>
      <c r="E141" s="11">
        <v>3.7061422291470669</v>
      </c>
      <c r="F141" s="11">
        <f t="shared" ref="F141:F142" si="98">SUM(D141:E141)</f>
        <v>6.7207929468136136</v>
      </c>
      <c r="G141" s="200">
        <f t="shared" si="92"/>
        <v>4.4487632462525184E-2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2">
      <c r="A142" t="str">
        <f t="shared" si="89"/>
        <v>63 Community and civil enforcement occupations</v>
      </c>
      <c r="B142" s="11">
        <v>0.12067613847199793</v>
      </c>
      <c r="C142" s="11">
        <v>0.12833867534741863</v>
      </c>
      <c r="D142" s="11">
        <f t="shared" si="97"/>
        <v>7.6625368754207057E-3</v>
      </c>
      <c r="E142" s="11">
        <v>7.0010039247248676E-2</v>
      </c>
      <c r="F142" s="11">
        <f t="shared" si="98"/>
        <v>7.7672576122669382E-2</v>
      </c>
      <c r="G142" s="200">
        <f t="shared" si="92"/>
        <v>3.0971169309336855E-2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2">
      <c r="A143" t="str">
        <f t="shared" si="89"/>
        <v>71 Sales occupations</v>
      </c>
      <c r="B143" s="11">
        <v>9.0189490531101661</v>
      </c>
      <c r="C143" s="11">
        <v>12.349613575182648</v>
      </c>
      <c r="D143" s="11">
        <f t="shared" si="97"/>
        <v>3.3306645220724818</v>
      </c>
      <c r="E143" s="11">
        <v>6.2596290879904446</v>
      </c>
      <c r="F143" s="11">
        <f t="shared" ref="F143:F144" si="99">SUM(D143:E143)</f>
        <v>9.5902936100629255</v>
      </c>
      <c r="G143" s="200">
        <f t="shared" si="92"/>
        <v>3.5766356821428813E-2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2">
      <c r="A144" t="str">
        <f t="shared" si="89"/>
        <v>72 Customer service occupations</v>
      </c>
      <c r="B144" s="11">
        <v>2.4922806931802599</v>
      </c>
      <c r="C144" s="11">
        <v>4.7859202190902206</v>
      </c>
      <c r="D144" s="11">
        <f t="shared" si="97"/>
        <v>2.2936395259099607</v>
      </c>
      <c r="E144" s="11">
        <v>2.2341227100347076</v>
      </c>
      <c r="F144" s="11">
        <f t="shared" si="99"/>
        <v>4.5277622359446683</v>
      </c>
      <c r="G144" s="200">
        <f t="shared" si="92"/>
        <v>4.3587629023043029E-2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2">
      <c r="A145" t="str">
        <f t="shared" si="89"/>
        <v>81 Process, plant and machine operatives</v>
      </c>
      <c r="B145" s="11">
        <v>1.0387382000741596</v>
      </c>
      <c r="C145" s="11">
        <v>3.0583362561280478</v>
      </c>
      <c r="D145" s="11">
        <f t="shared" si="97"/>
        <v>2.019598056053888</v>
      </c>
      <c r="E145" s="11">
        <v>1.0324189033059825</v>
      </c>
      <c r="F145" s="11">
        <f t="shared" ref="F145:F146" si="100">SUM(D145:E145)</f>
        <v>3.0520169593598707</v>
      </c>
      <c r="G145" s="200">
        <f t="shared" si="92"/>
        <v>4.7081442493952297E-2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2">
      <c r="A146" t="str">
        <f t="shared" si="89"/>
        <v>82 Transport and mobile machine drivers and operatives</v>
      </c>
      <c r="B146" s="11">
        <v>1.9548097982234314</v>
      </c>
      <c r="C146" s="11">
        <v>3.5092252753996953</v>
      </c>
      <c r="D146" s="11">
        <f t="shared" si="97"/>
        <v>1.5544154771762639</v>
      </c>
      <c r="E146" s="11">
        <v>1.9552379496559205</v>
      </c>
      <c r="F146" s="11">
        <f t="shared" si="100"/>
        <v>3.5096534268321844</v>
      </c>
      <c r="G146" s="200">
        <f t="shared" si="92"/>
        <v>4.7301768535742861E-2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2">
      <c r="A147" t="str">
        <f t="shared" si="89"/>
        <v>91 Elementary trades and related occupations</v>
      </c>
      <c r="B147" s="11">
        <v>1.3410515894011621</v>
      </c>
      <c r="C147" s="11">
        <v>1.8096801582529818</v>
      </c>
      <c r="D147" s="11">
        <f t="shared" si="97"/>
        <v>0.46862856885181969</v>
      </c>
      <c r="E147" s="11">
        <v>0.86884135819444808</v>
      </c>
      <c r="F147" s="11">
        <f t="shared" ref="F147" si="101">SUM(D147:E147)</f>
        <v>1.3374699270462678</v>
      </c>
      <c r="G147" s="200">
        <f t="shared" si="92"/>
        <v>3.3859961673945449E-2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2">
      <c r="A148" t="str">
        <f t="shared" si="89"/>
        <v>92 Elementary administration and service occupations</v>
      </c>
      <c r="B148" s="11">
        <v>9.7634387282904438</v>
      </c>
      <c r="C148" s="11">
        <v>17.018182175464517</v>
      </c>
      <c r="D148" s="11">
        <f t="shared" ref="D148" si="102">C148-B148</f>
        <v>7.2547434471740733</v>
      </c>
      <c r="E148" s="11">
        <v>8.6029558310614203</v>
      </c>
      <c r="F148" s="11">
        <f t="shared" ref="F148" si="103">SUM(D148:E148)</f>
        <v>15.857699278235494</v>
      </c>
      <c r="G148" s="200">
        <f t="shared" ref="G148" si="104">IF(B148&gt;0,(1+(E148/B148))^(1/($C$6-$B$6))-1,0)</f>
        <v>4.3025053489863296E-2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2">
      <c r="A149" t="str">
        <f t="shared" si="89"/>
        <v>All occupations</v>
      </c>
      <c r="B149" s="11">
        <f>SUM(B123:B148)</f>
        <v>159.48966179180383</v>
      </c>
      <c r="C149" s="11">
        <f t="shared" ref="C149:F149" si="105">SUM(C123:C148)</f>
        <v>186.36959050016765</v>
      </c>
      <c r="D149" s="11">
        <f t="shared" si="105"/>
        <v>26.879928708363806</v>
      </c>
      <c r="E149" s="11">
        <f t="shared" si="105"/>
        <v>96.418385037870394</v>
      </c>
      <c r="F149" s="11">
        <f t="shared" si="105"/>
        <v>123.29831374623421</v>
      </c>
      <c r="G149" s="200">
        <f t="shared" si="92"/>
        <v>3.2024704877274601E-2</v>
      </c>
      <c r="P149" s="11"/>
      <c r="Q149" s="11"/>
      <c r="R149" s="11"/>
      <c r="S149" s="11"/>
      <c r="T149" s="11"/>
      <c r="U149" s="1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38.25" x14ac:dyDescent="0.2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2">
      <c r="A152" t="str">
        <f t="shared" ref="A152:A178" si="107">A65</f>
        <v>11 Corporate managers and directors</v>
      </c>
      <c r="B152" s="11">
        <v>16.524330254509131</v>
      </c>
      <c r="C152" s="11">
        <v>16.684566834979247</v>
      </c>
      <c r="D152" s="11">
        <f>C152-B152</f>
        <v>0.1602365804701158</v>
      </c>
      <c r="E152" s="11">
        <v>8.8182318624996245</v>
      </c>
      <c r="F152" s="11">
        <f>SUM(D152:E152)</f>
        <v>8.9784684429697403</v>
      </c>
      <c r="G152" s="200">
        <f>IF(B152&gt;0,(1+(E152/B152))^(1/($C$6-$B$6))-1,0)</f>
        <v>2.8920397643182882E-2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2">
      <c r="A153" t="str">
        <f t="shared" si="107"/>
        <v>12 Other managers and proprietors</v>
      </c>
      <c r="B153" s="11">
        <v>7.733018399238631</v>
      </c>
      <c r="C153" s="11">
        <v>11.091882753036105</v>
      </c>
      <c r="D153" s="11">
        <f t="shared" ref="D153:D168" si="108">C153-B153</f>
        <v>3.3588643537974736</v>
      </c>
      <c r="E153" s="11">
        <v>6.4524962712372691</v>
      </c>
      <c r="F153" s="11">
        <f t="shared" ref="F153:F160" si="109">SUM(D153:E153)</f>
        <v>9.8113606250347427</v>
      </c>
      <c r="G153" s="200">
        <f t="shared" ref="G153:G155" si="110">IF(B153&gt;0,(1+(E153/B153))^(1/($C$6-$B$6))-1,0)</f>
        <v>4.1277306646920975E-2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2">
      <c r="A154" t="str">
        <f t="shared" si="107"/>
        <v>21 Science, research, engineering and technology professionals</v>
      </c>
      <c r="B154" s="11">
        <v>14.760185513240769</v>
      </c>
      <c r="C154" s="11">
        <v>13.365665103422911</v>
      </c>
      <c r="D154" s="11">
        <f t="shared" si="108"/>
        <v>-1.3945204098178579</v>
      </c>
      <c r="E154" s="11">
        <v>5.2909667492456105</v>
      </c>
      <c r="F154" s="11">
        <f t="shared" si="109"/>
        <v>3.8964463394277526</v>
      </c>
      <c r="G154" s="200">
        <f t="shared" si="110"/>
        <v>2.0633536725007673E-2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2">
      <c r="A155" t="str">
        <f t="shared" si="107"/>
        <v>22 Health professionals</v>
      </c>
      <c r="B155" s="11">
        <v>3.7676262570513028</v>
      </c>
      <c r="C155" s="11">
        <v>4.7346832986486209</v>
      </c>
      <c r="D155" s="11">
        <f t="shared" si="108"/>
        <v>0.96705704159731809</v>
      </c>
      <c r="E155" s="11">
        <v>2.3188304095262446</v>
      </c>
      <c r="F155" s="11">
        <f t="shared" si="109"/>
        <v>3.2858874511235627</v>
      </c>
      <c r="G155" s="200">
        <f t="shared" si="110"/>
        <v>3.2491411930361203E-2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2">
      <c r="A156" t="str">
        <f t="shared" si="107"/>
        <v>23 Teaching and other educational professionals</v>
      </c>
      <c r="B156" s="11">
        <v>1.5805413664990304</v>
      </c>
      <c r="C156" s="11">
        <v>1.075089738794742</v>
      </c>
      <c r="D156" s="11">
        <f t="shared" si="108"/>
        <v>-0.50545162770428842</v>
      </c>
      <c r="E156" s="11">
        <v>0.67693692326172161</v>
      </c>
      <c r="F156" s="11">
        <f t="shared" si="109"/>
        <v>0.17148529555743319</v>
      </c>
      <c r="G156" s="200">
        <f>IF(B156&gt;0,(1+(E156/B156))^(1/($C$6-$B$6))-1,0)</f>
        <v>2.4050045105522555E-2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2">
      <c r="A157" t="str">
        <f t="shared" si="107"/>
        <v>24 Business, media and public service professionals</v>
      </c>
      <c r="B157" s="11">
        <v>11.14411372795678</v>
      </c>
      <c r="C157" s="11">
        <v>13.118066526632445</v>
      </c>
      <c r="D157" s="11">
        <f t="shared" si="108"/>
        <v>1.9739527986756649</v>
      </c>
      <c r="E157" s="11">
        <v>6.2716245809507418</v>
      </c>
      <c r="F157" s="11">
        <f t="shared" si="109"/>
        <v>8.2455773796264076</v>
      </c>
      <c r="G157" s="200">
        <f t="shared" ref="G157:G178" si="111">IF(B157&gt;0,(1+(E157/B157))^(1/($C$6-$B$6))-1,0)</f>
        <v>3.0211571542279936E-2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2">
      <c r="A158" t="str">
        <f t="shared" si="107"/>
        <v>31 Science, engineering and technology associate professionals</v>
      </c>
      <c r="B158" s="11">
        <v>5.9989599882081519</v>
      </c>
      <c r="C158" s="11">
        <v>4.9511863224315293</v>
      </c>
      <c r="D158" s="11">
        <f t="shared" si="108"/>
        <v>-1.0477736657766226</v>
      </c>
      <c r="E158" s="11">
        <v>2.073329977252234</v>
      </c>
      <c r="F158" s="11">
        <f t="shared" si="109"/>
        <v>1.0255563114756114</v>
      </c>
      <c r="G158" s="200">
        <f t="shared" si="111"/>
        <v>1.9987194078269432E-2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2">
      <c r="A159" t="str">
        <f t="shared" si="107"/>
        <v>32 Health and social care associate professionals</v>
      </c>
      <c r="B159" s="11">
        <v>2.9064290622236499</v>
      </c>
      <c r="C159" s="11">
        <v>3.4123378561529893</v>
      </c>
      <c r="D159" s="11">
        <f t="shared" si="108"/>
        <v>0.50590879392933941</v>
      </c>
      <c r="E159" s="11">
        <v>1.8658040010829964</v>
      </c>
      <c r="F159" s="11">
        <f t="shared" si="109"/>
        <v>2.3717127950123356</v>
      </c>
      <c r="G159" s="200">
        <f t="shared" si="111"/>
        <v>3.3611805904538716E-2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2">
      <c r="A160" t="str">
        <f t="shared" si="107"/>
        <v>33 Protective service occupations</v>
      </c>
      <c r="B160" s="11">
        <v>1.0904037096248682</v>
      </c>
      <c r="C160" s="11">
        <v>1.4008016406155639</v>
      </c>
      <c r="D160" s="11">
        <f t="shared" si="108"/>
        <v>0.31039793099069568</v>
      </c>
      <c r="E160" s="11">
        <v>0.48205428463871014</v>
      </c>
      <c r="F160" s="11">
        <f t="shared" si="109"/>
        <v>0.79245221562940582</v>
      </c>
      <c r="G160" s="200">
        <f t="shared" si="111"/>
        <v>2.470640034408822E-2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2">
      <c r="A161" t="str">
        <f t="shared" si="107"/>
        <v>34 Culture, media and sports occupations</v>
      </c>
      <c r="B161" s="11">
        <v>3.7152964223872011</v>
      </c>
      <c r="C161" s="11">
        <v>3.8085966850728692</v>
      </c>
      <c r="D161" s="11">
        <f t="shared" si="108"/>
        <v>9.3300262685668045E-2</v>
      </c>
      <c r="E161" s="11">
        <v>1.8440305335012293</v>
      </c>
      <c r="F161" s="11">
        <f t="shared" ref="F161:F162" si="112">SUM(D161:E161)</f>
        <v>1.9373307961868973</v>
      </c>
      <c r="G161" s="200">
        <f t="shared" si="111"/>
        <v>2.7232102204241881E-2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2">
      <c r="A162" t="str">
        <f t="shared" si="107"/>
        <v>35 Business and public service associate professionals</v>
      </c>
      <c r="B162" s="11">
        <v>10.666065773412706</v>
      </c>
      <c r="C162" s="11">
        <v>11.188976063994208</v>
      </c>
      <c r="D162" s="11">
        <f t="shared" si="108"/>
        <v>0.52291029058150151</v>
      </c>
      <c r="E162" s="11">
        <v>5.2951940412659066</v>
      </c>
      <c r="F162" s="11">
        <f t="shared" si="112"/>
        <v>5.8181043318474082</v>
      </c>
      <c r="G162" s="200">
        <f t="shared" si="111"/>
        <v>2.7237489139554816E-2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2">
      <c r="A163" t="str">
        <f t="shared" si="107"/>
        <v>41 Administrative occupations</v>
      </c>
      <c r="B163" s="11">
        <v>16.919832848869135</v>
      </c>
      <c r="C163" s="11">
        <v>19.419440952108733</v>
      </c>
      <c r="D163" s="11">
        <f t="shared" si="108"/>
        <v>2.4996081032395985</v>
      </c>
      <c r="E163" s="11">
        <v>10.390454010770938</v>
      </c>
      <c r="F163" s="11">
        <f t="shared" ref="F163:F166" si="113">SUM(D163:E163)</f>
        <v>12.890062114010536</v>
      </c>
      <c r="G163" s="200">
        <f t="shared" si="111"/>
        <v>3.2433321668012161E-2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2">
      <c r="A164" t="str">
        <f t="shared" si="107"/>
        <v>42 Secretarial and related occupations</v>
      </c>
      <c r="B164" s="11">
        <v>3.1668624783568413</v>
      </c>
      <c r="C164" s="11">
        <v>6.1342503042431309</v>
      </c>
      <c r="D164" s="11">
        <f t="shared" si="108"/>
        <v>2.9673878258862896</v>
      </c>
      <c r="E164" s="11">
        <v>2.4689401967340876</v>
      </c>
      <c r="F164" s="11">
        <f t="shared" si="113"/>
        <v>5.4363280226203772</v>
      </c>
      <c r="G164" s="200">
        <f t="shared" si="111"/>
        <v>3.9174397406124495E-2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2">
      <c r="A165" t="str">
        <f t="shared" si="107"/>
        <v>51 Skilled agricultural and related trades</v>
      </c>
      <c r="B165" s="11">
        <v>3.7514462321608986</v>
      </c>
      <c r="C165" s="11">
        <v>5.88030785701695</v>
      </c>
      <c r="D165" s="11">
        <f t="shared" si="108"/>
        <v>2.1288616248560515</v>
      </c>
      <c r="E165" s="11">
        <v>3.0759964770392587</v>
      </c>
      <c r="F165" s="11">
        <f t="shared" si="113"/>
        <v>5.2048581018953097</v>
      </c>
      <c r="G165" s="200">
        <f t="shared" si="111"/>
        <v>4.0728120141026336E-2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2">
      <c r="A166" t="str">
        <f t="shared" si="107"/>
        <v>52 Skilled metal, electrical and electronic trades</v>
      </c>
      <c r="B166" s="11">
        <v>7.5718208099198874</v>
      </c>
      <c r="C166" s="11">
        <v>10.654533794883656</v>
      </c>
      <c r="D166" s="11">
        <f t="shared" si="108"/>
        <v>3.0827129849637691</v>
      </c>
      <c r="E166" s="11">
        <v>4.3774232332491545</v>
      </c>
      <c r="F166" s="11">
        <f t="shared" si="113"/>
        <v>7.4601362182129236</v>
      </c>
      <c r="G166" s="200">
        <f t="shared" si="111"/>
        <v>3.0882910661420127E-2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2">
      <c r="A167" t="str">
        <f t="shared" si="107"/>
        <v>53 Skilled construction and building trades</v>
      </c>
      <c r="B167" s="11">
        <v>3.077789892396583</v>
      </c>
      <c r="C167" s="11">
        <v>5.4375363701429036</v>
      </c>
      <c r="D167" s="11">
        <f t="shared" si="108"/>
        <v>2.3597464777463206</v>
      </c>
      <c r="E167" s="11">
        <v>2.6737539702286108</v>
      </c>
      <c r="F167" s="11">
        <f t="shared" ref="F167" si="114">SUM(D167:E167)</f>
        <v>5.0335004479749319</v>
      </c>
      <c r="G167" s="200">
        <f t="shared" si="111"/>
        <v>4.2564735995150871E-2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2">
      <c r="A168" t="str">
        <f t="shared" si="107"/>
        <v>54 Textiles, printing and other skilled trades</v>
      </c>
      <c r="B168" s="11">
        <v>2.2682263635235076</v>
      </c>
      <c r="C168" s="11">
        <v>2.7524110312711083</v>
      </c>
      <c r="D168" s="11">
        <f t="shared" si="108"/>
        <v>0.48418466774760072</v>
      </c>
      <c r="E168" s="11">
        <v>1.664449665560886</v>
      </c>
      <c r="F168" s="11">
        <f t="shared" ref="F168" si="115">SUM(D168:E168)</f>
        <v>2.148634333308487</v>
      </c>
      <c r="G168" s="200">
        <f t="shared" si="111"/>
        <v>3.7369444533352114E-2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2">
      <c r="A169" t="str">
        <f t="shared" si="107"/>
        <v>61 Caring personal service occupations</v>
      </c>
      <c r="B169" s="11">
        <v>13.107625299013602</v>
      </c>
      <c r="C169" s="11">
        <v>16.802570816392592</v>
      </c>
      <c r="D169" s="11">
        <f>C169-B169</f>
        <v>3.69494551737899</v>
      </c>
      <c r="E169" s="11">
        <v>9.71766225058429</v>
      </c>
      <c r="F169" s="11">
        <f>SUM(D169:E169)</f>
        <v>13.41260776796328</v>
      </c>
      <c r="G169" s="200">
        <f t="shared" si="111"/>
        <v>3.767052940780502E-2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2">
      <c r="A170" t="str">
        <f t="shared" si="107"/>
        <v>62 Leisure, travel and related personal service occupations</v>
      </c>
      <c r="B170" s="11">
        <v>4.6915795596940768</v>
      </c>
      <c r="C170" s="11">
        <v>8.6673512510975748</v>
      </c>
      <c r="D170" s="11">
        <f t="shared" ref="D170:D176" si="116">C170-B170</f>
        <v>3.975771691403498</v>
      </c>
      <c r="E170" s="11">
        <v>4.4670738091256679</v>
      </c>
      <c r="F170" s="11">
        <f t="shared" ref="F170:F171" si="117">SUM(D170:E170)</f>
        <v>8.4428455005291667</v>
      </c>
      <c r="G170" s="200">
        <f t="shared" si="111"/>
        <v>4.5604641564987336E-2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2">
      <c r="A171" t="str">
        <f t="shared" si="107"/>
        <v>63 Community and civil enforcement occupations</v>
      </c>
      <c r="B171" s="11">
        <v>0.11002619996101484</v>
      </c>
      <c r="C171" s="11">
        <v>9.0895620373249553E-2</v>
      </c>
      <c r="D171" s="11">
        <f t="shared" si="116"/>
        <v>-1.913057958776529E-2</v>
      </c>
      <c r="E171" s="11">
        <v>5.4557324437778887E-2</v>
      </c>
      <c r="F171" s="11">
        <f t="shared" si="117"/>
        <v>3.5426744850013597E-2</v>
      </c>
      <c r="G171" s="200">
        <f t="shared" si="111"/>
        <v>2.7210262481303094E-2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2">
      <c r="A172" t="str">
        <f t="shared" si="107"/>
        <v>71 Sales occupations</v>
      </c>
      <c r="B172" s="11">
        <v>6.831386372257513</v>
      </c>
      <c r="C172" s="11">
        <v>8.402381886420681</v>
      </c>
      <c r="D172" s="11">
        <f t="shared" si="116"/>
        <v>1.570995514163168</v>
      </c>
      <c r="E172" s="11">
        <v>3.875122329157993</v>
      </c>
      <c r="F172" s="11">
        <f t="shared" ref="F172:F173" si="118">SUM(D172:E172)</f>
        <v>5.4461178433211614</v>
      </c>
      <c r="G172" s="200">
        <f t="shared" si="111"/>
        <v>3.0408110318681292E-2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2">
      <c r="A173" t="str">
        <f t="shared" si="107"/>
        <v>72 Customer service occupations</v>
      </c>
      <c r="B173" s="11">
        <v>2.8056028838814364</v>
      </c>
      <c r="C173" s="11">
        <v>4.647761689288207</v>
      </c>
      <c r="D173" s="11">
        <f t="shared" si="116"/>
        <v>1.8421588054067706</v>
      </c>
      <c r="E173" s="11">
        <v>2.0706035614409255</v>
      </c>
      <c r="F173" s="11">
        <f t="shared" si="118"/>
        <v>3.9127623668476961</v>
      </c>
      <c r="G173" s="200">
        <f t="shared" si="111"/>
        <v>3.7537316448125635E-2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2">
      <c r="A174" t="str">
        <f t="shared" si="107"/>
        <v>81 Process, plant and machine operatives</v>
      </c>
      <c r="B174" s="11">
        <v>2.3220541501784528</v>
      </c>
      <c r="C174" s="11">
        <v>5.1286799879119531</v>
      </c>
      <c r="D174" s="11">
        <f t="shared" si="116"/>
        <v>2.8066258377335003</v>
      </c>
      <c r="E174" s="11">
        <v>1.9358127266726464</v>
      </c>
      <c r="F174" s="11">
        <f t="shared" ref="F174:F175" si="119">SUM(D174:E174)</f>
        <v>4.7424385644061466</v>
      </c>
      <c r="G174" s="200">
        <f t="shared" si="111"/>
        <v>4.1249124014877347E-2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2">
      <c r="A175" t="str">
        <f t="shared" si="107"/>
        <v>82 Transport and mobile machine drivers and operatives</v>
      </c>
      <c r="B175" s="11">
        <v>2.8054597625870832</v>
      </c>
      <c r="C175" s="11">
        <v>4.6985927200785698</v>
      </c>
      <c r="D175" s="11">
        <f t="shared" si="116"/>
        <v>1.8931329574914866</v>
      </c>
      <c r="E175" s="11">
        <v>2.7386529361208374</v>
      </c>
      <c r="F175" s="11">
        <f t="shared" si="119"/>
        <v>4.6317858936123244</v>
      </c>
      <c r="G175" s="200">
        <f t="shared" si="111"/>
        <v>4.6458155654906186E-2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2">
      <c r="A176" t="str">
        <f t="shared" si="107"/>
        <v>91 Elementary trades and related occupations</v>
      </c>
      <c r="B176" s="11">
        <v>1.5980700232440241</v>
      </c>
      <c r="C176" s="11">
        <v>1.9703866590846852</v>
      </c>
      <c r="D176" s="11">
        <f t="shared" si="116"/>
        <v>0.3723166358406611</v>
      </c>
      <c r="E176" s="11">
        <v>0.8646557045472516</v>
      </c>
      <c r="F176" s="11">
        <f t="shared" ref="F176" si="120">SUM(D176:E176)</f>
        <v>1.2369723403879127</v>
      </c>
      <c r="G176" s="200">
        <f t="shared" si="111"/>
        <v>2.9251122930704865E-2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2">
      <c r="A177" t="str">
        <f t="shared" si="107"/>
        <v>92 Elementary administration and service occupations</v>
      </c>
      <c r="B177" s="11">
        <v>8.9477121619563267</v>
      </c>
      <c r="C177" s="11">
        <v>15.030053563656427</v>
      </c>
      <c r="D177" s="11">
        <f t="shared" ref="D177" si="121">C177-B177</f>
        <v>6.0823414017001003</v>
      </c>
      <c r="E177" s="11">
        <v>7.5002058783294023</v>
      </c>
      <c r="F177" s="11">
        <f t="shared" ref="F177" si="122">SUM(D177:E177)</f>
        <v>13.582547280029502</v>
      </c>
      <c r="G177" s="200">
        <f t="shared" ref="G177" si="123">IF(B177&gt;0,(1+(E177/B177))^(1/($C$6-$B$6))-1,0)</f>
        <v>4.14216339110558E-2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2">
      <c r="A178" t="str">
        <f t="shared" si="107"/>
        <v>All occupations</v>
      </c>
      <c r="B178" s="11">
        <f>SUM(B152:B177)</f>
        <v>159.86246551235263</v>
      </c>
      <c r="C178" s="11">
        <f t="shared" ref="C178:F178" si="124">SUM(C152:C177)</f>
        <v>200.54900732775167</v>
      </c>
      <c r="D178" s="11">
        <f t="shared" si="124"/>
        <v>40.686541815399053</v>
      </c>
      <c r="E178" s="11">
        <f t="shared" si="124"/>
        <v>99.264863708462016</v>
      </c>
      <c r="F178" s="11">
        <f t="shared" si="124"/>
        <v>139.95140552386107</v>
      </c>
      <c r="G178" s="200">
        <f t="shared" si="111"/>
        <v>3.2724422201666714E-2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38.25" x14ac:dyDescent="0.2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2">
      <c r="A181" t="str">
        <f t="shared" ref="A181:A207" si="126">A94</f>
        <v>11 Corporate managers and directors</v>
      </c>
      <c r="B181" s="11">
        <v>43.616744940785736</v>
      </c>
      <c r="C181" s="11">
        <v>38.759817815018913</v>
      </c>
      <c r="D181" s="11">
        <f>C181-B181</f>
        <v>-4.8569271257668234</v>
      </c>
      <c r="E181" s="11">
        <v>15.986459384723805</v>
      </c>
      <c r="F181" s="11">
        <f>SUM(D181:E181)</f>
        <v>11.129532258956981</v>
      </c>
      <c r="G181" s="200">
        <f>IF(B181&gt;0,(1+(E181/B181))^(1/($C$6-$B$6))-1,0)</f>
        <v>2.1036083719695453E-2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2">
      <c r="A182" t="str">
        <f t="shared" si="126"/>
        <v>12 Other managers and proprietors</v>
      </c>
      <c r="B182" s="11">
        <v>20.81334718575695</v>
      </c>
      <c r="C182" s="11">
        <v>24.833792648579461</v>
      </c>
      <c r="D182" s="11">
        <f t="shared" ref="D182:D197" si="127">C182-B182</f>
        <v>4.0204454628225115</v>
      </c>
      <c r="E182" s="11">
        <v>10.224871079807949</v>
      </c>
      <c r="F182" s="11">
        <f t="shared" ref="F182:F189" si="128">SUM(D182:E182)</f>
        <v>14.24531654263046</v>
      </c>
      <c r="G182" s="200">
        <f t="shared" ref="G182:G184" si="129">IF(B182&gt;0,(1+(E182/B182))^(1/($C$6-$B$6))-1,0)</f>
        <v>2.6999716253548689E-2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6"/>
        <v>21 Science, research, engineering and technology professionals</v>
      </c>
      <c r="B183" s="11">
        <v>25.589652366518045</v>
      </c>
      <c r="C183" s="11">
        <v>22.610182444006512</v>
      </c>
      <c r="D183" s="11">
        <f t="shared" si="127"/>
        <v>-2.9794699225115338</v>
      </c>
      <c r="E183" s="11">
        <v>6.5296458554379404</v>
      </c>
      <c r="F183" s="11">
        <f t="shared" si="128"/>
        <v>3.5501759329264067</v>
      </c>
      <c r="G183" s="200">
        <f t="shared" si="129"/>
        <v>1.5266627298566426E-2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6"/>
        <v>22 Health professionals</v>
      </c>
      <c r="B184" s="11">
        <v>15.123363609708067</v>
      </c>
      <c r="C184" s="11">
        <v>19.471841903831628</v>
      </c>
      <c r="D184" s="11">
        <f t="shared" si="127"/>
        <v>4.3484782941235611</v>
      </c>
      <c r="E184" s="11">
        <v>9.4703055730715189</v>
      </c>
      <c r="F184" s="11">
        <f t="shared" si="128"/>
        <v>13.81878386719508</v>
      </c>
      <c r="G184" s="200">
        <f t="shared" si="129"/>
        <v>3.2947690238366745E-2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6"/>
        <v>23 Teaching and other educational professionals</v>
      </c>
      <c r="B185" s="11">
        <v>7.0532639283847853</v>
      </c>
      <c r="C185" s="11">
        <v>7.7124183986404198</v>
      </c>
      <c r="D185" s="11">
        <f t="shared" si="127"/>
        <v>0.65915447025563445</v>
      </c>
      <c r="E185" s="11">
        <v>3.0219860527277276</v>
      </c>
      <c r="F185" s="11">
        <f t="shared" si="128"/>
        <v>3.681140522983362</v>
      </c>
      <c r="G185" s="200">
        <f>IF(B185&gt;0,(1+(E185/B185))^(1/($C$6-$B$6))-1,0)</f>
        <v>2.4057587422070537E-2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6"/>
        <v>24 Business, media and public service professionals</v>
      </c>
      <c r="B186" s="11">
        <v>29.16290797491023</v>
      </c>
      <c r="C186" s="11">
        <v>33.557179324613429</v>
      </c>
      <c r="D186" s="11">
        <f t="shared" si="127"/>
        <v>4.3942713497031995</v>
      </c>
      <c r="E186" s="11">
        <v>12.651372019653214</v>
      </c>
      <c r="F186" s="11">
        <f t="shared" si="128"/>
        <v>17.045643369356412</v>
      </c>
      <c r="G186" s="200">
        <f t="shared" ref="G186:G207" si="130">IF(B186&gt;0,(1+(E186/B186))^(1/($C$6-$B$6))-1,0)</f>
        <v>2.4313554582552133E-2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6"/>
        <v>31 Science, engineering and technology associate professionals</v>
      </c>
      <c r="B187" s="11">
        <v>11.034667114931107</v>
      </c>
      <c r="C187" s="11">
        <v>6.5680695797320956</v>
      </c>
      <c r="D187" s="11">
        <f t="shared" si="127"/>
        <v>-4.4665975351990115</v>
      </c>
      <c r="E187" s="11">
        <v>2.6603199461254561</v>
      </c>
      <c r="F187" s="11">
        <f t="shared" si="128"/>
        <v>-1.8062775890735554</v>
      </c>
      <c r="G187" s="200">
        <f t="shared" si="130"/>
        <v>1.4503366840737053E-2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6"/>
        <v>32 Health and social care associate professionals</v>
      </c>
      <c r="B188" s="11">
        <v>11.898376500734313</v>
      </c>
      <c r="C188" s="11">
        <v>14.922821739273781</v>
      </c>
      <c r="D188" s="11">
        <f t="shared" si="127"/>
        <v>3.0244452385394673</v>
      </c>
      <c r="E188" s="11">
        <v>7.1503818058766626</v>
      </c>
      <c r="F188" s="11">
        <f t="shared" si="128"/>
        <v>10.17482704441613</v>
      </c>
      <c r="G188" s="200">
        <f t="shared" si="130"/>
        <v>3.1870660700177078E-2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6"/>
        <v>33 Protective service occupations</v>
      </c>
      <c r="B189" s="11">
        <v>4.3480756415272603</v>
      </c>
      <c r="C189" s="11">
        <v>4.9835760003105696</v>
      </c>
      <c r="D189" s="11">
        <f t="shared" si="127"/>
        <v>0.63550035878330924</v>
      </c>
      <c r="E189" s="11">
        <v>1.1712179230398583</v>
      </c>
      <c r="F189" s="11">
        <f t="shared" si="128"/>
        <v>1.8067182818231675</v>
      </c>
      <c r="G189" s="200">
        <f t="shared" si="130"/>
        <v>1.6028195837905157E-2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6"/>
        <v>34 Culture, media and sports occupations</v>
      </c>
      <c r="B190" s="11">
        <v>9.8741789490943717</v>
      </c>
      <c r="C190" s="11">
        <v>10.46222058735308</v>
      </c>
      <c r="D190" s="11">
        <f t="shared" si="127"/>
        <v>0.58804163825870859</v>
      </c>
      <c r="E190" s="11">
        <v>3.8601513064181465</v>
      </c>
      <c r="F190" s="11">
        <f t="shared" ref="F190:F191" si="131">SUM(D190:E190)</f>
        <v>4.4481929446768547</v>
      </c>
      <c r="G190" s="200">
        <f t="shared" si="130"/>
        <v>2.2242107551663004E-2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6"/>
        <v>35 Business and public service associate professionals</v>
      </c>
      <c r="B191" s="11">
        <v>35.706163026875487</v>
      </c>
      <c r="C191" s="11">
        <v>31.652034715980989</v>
      </c>
      <c r="D191" s="11">
        <f t="shared" si="127"/>
        <v>-4.0541283108944981</v>
      </c>
      <c r="E191" s="11">
        <v>12.836508216598691</v>
      </c>
      <c r="F191" s="11">
        <f t="shared" si="131"/>
        <v>8.7823799057041931</v>
      </c>
      <c r="G191" s="200">
        <f t="shared" si="130"/>
        <v>2.0685705297333268E-2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6"/>
        <v>41 Administrative occupations</v>
      </c>
      <c r="B192" s="11">
        <v>54.676711228294039</v>
      </c>
      <c r="C192" s="11">
        <v>43.829722091403674</v>
      </c>
      <c r="D192" s="11">
        <f t="shared" si="127"/>
        <v>-10.846989136890365</v>
      </c>
      <c r="E192" s="11">
        <v>21.821907004393612</v>
      </c>
      <c r="F192" s="11">
        <f t="shared" ref="F192:F195" si="132">SUM(D192:E192)</f>
        <v>10.974917867503247</v>
      </c>
      <c r="G192" s="200">
        <f t="shared" si="130"/>
        <v>2.2641501981686574E-2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6"/>
        <v>42 Secretarial and related occupations</v>
      </c>
      <c r="B193" s="11">
        <v>10.76769372617394</v>
      </c>
      <c r="C193" s="11">
        <v>4.5640033433095741</v>
      </c>
      <c r="D193" s="11">
        <f t="shared" si="127"/>
        <v>-6.2036903828643659</v>
      </c>
      <c r="E193" s="11">
        <v>4.0252339688877612</v>
      </c>
      <c r="F193" s="11">
        <f t="shared" si="132"/>
        <v>-2.1784564139766047</v>
      </c>
      <c r="G193" s="200">
        <f t="shared" si="130"/>
        <v>2.1399002440755988E-2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6"/>
        <v>51 Skilled agricultural and related trades</v>
      </c>
      <c r="B194" s="11">
        <v>7.1214146420539191</v>
      </c>
      <c r="C194" s="11">
        <v>7.6060019968797521</v>
      </c>
      <c r="D194" s="11">
        <f t="shared" si="127"/>
        <v>0.48458735482583304</v>
      </c>
      <c r="E194" s="11">
        <v>3.4266371944759277</v>
      </c>
      <c r="F194" s="11">
        <f t="shared" si="132"/>
        <v>3.9112245493017608</v>
      </c>
      <c r="G194" s="200">
        <f t="shared" si="130"/>
        <v>2.653493097294124E-2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6"/>
        <v>52 Skilled metal, electrical and electronic trades</v>
      </c>
      <c r="B195" s="11">
        <v>47.005751977717495</v>
      </c>
      <c r="C195" s="11">
        <v>47.490848667296021</v>
      </c>
      <c r="D195" s="11">
        <f t="shared" si="127"/>
        <v>0.48509668957852625</v>
      </c>
      <c r="E195" s="11">
        <v>16.008192297579885</v>
      </c>
      <c r="F195" s="11">
        <f t="shared" si="132"/>
        <v>16.493288987158412</v>
      </c>
      <c r="G195" s="200">
        <f t="shared" si="130"/>
        <v>1.9731207856006794E-2</v>
      </c>
      <c r="I195" s="81"/>
      <c r="J195" s="72"/>
    </row>
    <row r="196" spans="1:14" x14ac:dyDescent="0.2">
      <c r="A196" t="str">
        <f t="shared" si="126"/>
        <v>53 Skilled construction and building trades</v>
      </c>
      <c r="B196" s="11">
        <v>33.713045365852196</v>
      </c>
      <c r="C196" s="11">
        <v>37.292698600058721</v>
      </c>
      <c r="D196" s="11">
        <f t="shared" si="127"/>
        <v>3.5796532342065248</v>
      </c>
      <c r="E196" s="11">
        <v>13.703985625279065</v>
      </c>
      <c r="F196" s="11">
        <f t="shared" ref="F196" si="133">SUM(D196:E196)</f>
        <v>17.283638859485592</v>
      </c>
      <c r="G196" s="200">
        <f t="shared" si="130"/>
        <v>2.3000293119369353E-2</v>
      </c>
    </row>
    <row r="197" spans="1:14" x14ac:dyDescent="0.2">
      <c r="A197" t="str">
        <f t="shared" si="126"/>
        <v>54 Textiles, printing and other skilled trades</v>
      </c>
      <c r="B197" s="11">
        <v>13.449442700687321</v>
      </c>
      <c r="C197" s="11">
        <v>14.708035438688812</v>
      </c>
      <c r="D197" s="11">
        <f t="shared" si="127"/>
        <v>1.2585927380014912</v>
      </c>
      <c r="E197" s="11">
        <v>5.818485756302759</v>
      </c>
      <c r="F197" s="11">
        <f t="shared" ref="F197" si="134">SUM(D197:E197)</f>
        <v>7.0770784943042502</v>
      </c>
      <c r="G197" s="200">
        <f t="shared" si="130"/>
        <v>2.4256469439091655E-2</v>
      </c>
    </row>
    <row r="198" spans="1:14" x14ac:dyDescent="0.2">
      <c r="A198" t="str">
        <f t="shared" si="126"/>
        <v>61 Caring personal service occupations</v>
      </c>
      <c r="B198" s="11">
        <v>82.603220346705641</v>
      </c>
      <c r="C198" s="11">
        <v>114.07386088936839</v>
      </c>
      <c r="D198" s="11">
        <f>C198-B198</f>
        <v>31.47064054266275</v>
      </c>
      <c r="E198" s="11">
        <v>53.966773649495238</v>
      </c>
      <c r="F198" s="11">
        <f>SUM(D198:E198)</f>
        <v>85.437414192157988</v>
      </c>
      <c r="G198" s="200">
        <f t="shared" si="130"/>
        <v>3.4087338872986761E-2</v>
      </c>
    </row>
    <row r="199" spans="1:14" x14ac:dyDescent="0.2">
      <c r="A199" t="str">
        <f t="shared" si="126"/>
        <v>62 Leisure, travel and related personal service occupations</v>
      </c>
      <c r="B199" s="11">
        <v>14.923156443814495</v>
      </c>
      <c r="C199" s="11">
        <v>15.882330800807887</v>
      </c>
      <c r="D199" s="11">
        <f t="shared" ref="D199:D205" si="135">C199-B199</f>
        <v>0.95917435699339215</v>
      </c>
      <c r="E199" s="11">
        <v>6.8201723242011001</v>
      </c>
      <c r="F199" s="11">
        <f t="shared" ref="F199:F200" si="136">SUM(D199:E199)</f>
        <v>7.7793466811944922</v>
      </c>
      <c r="G199" s="200">
        <f t="shared" si="130"/>
        <v>2.5410332759514542E-2</v>
      </c>
    </row>
    <row r="200" spans="1:14" x14ac:dyDescent="0.2">
      <c r="A200" t="str">
        <f t="shared" si="126"/>
        <v>63 Community and civil enforcement occupations</v>
      </c>
      <c r="B200" s="11">
        <v>0.46399018753413701</v>
      </c>
      <c r="C200" s="11">
        <v>0.29618913645836387</v>
      </c>
      <c r="D200" s="11">
        <f t="shared" si="135"/>
        <v>-0.16780105107577314</v>
      </c>
      <c r="E200" s="11">
        <v>0.10703820976013097</v>
      </c>
      <c r="F200" s="11">
        <f t="shared" si="136"/>
        <v>-6.0762841315642177E-2</v>
      </c>
      <c r="G200" s="200">
        <f t="shared" si="130"/>
        <v>1.3934562540096396E-2</v>
      </c>
    </row>
    <row r="201" spans="1:14" x14ac:dyDescent="0.2">
      <c r="A201" t="str">
        <f t="shared" si="126"/>
        <v>71 Sales occupations</v>
      </c>
      <c r="B201" s="11">
        <v>57.267545962241584</v>
      </c>
      <c r="C201" s="11">
        <v>61.112262617857532</v>
      </c>
      <c r="D201" s="11">
        <f t="shared" si="135"/>
        <v>3.8447166556159473</v>
      </c>
      <c r="E201" s="11">
        <v>25.346012839872046</v>
      </c>
      <c r="F201" s="11">
        <f t="shared" ref="F201:F202" si="137">SUM(D201:E201)</f>
        <v>29.190729495487993</v>
      </c>
      <c r="G201" s="200">
        <f t="shared" si="130"/>
        <v>2.4730156659786395E-2</v>
      </c>
    </row>
    <row r="202" spans="1:14" x14ac:dyDescent="0.2">
      <c r="A202" t="str">
        <f t="shared" si="126"/>
        <v>72 Customer service occupations</v>
      </c>
      <c r="B202" s="11">
        <v>12.78631478585338</v>
      </c>
      <c r="C202" s="11">
        <v>18.869574884958414</v>
      </c>
      <c r="D202" s="11">
        <f t="shared" si="135"/>
        <v>6.0832600991050345</v>
      </c>
      <c r="E202" s="11">
        <v>7.0700223082711</v>
      </c>
      <c r="F202" s="11">
        <f t="shared" si="137"/>
        <v>13.153282407376135</v>
      </c>
      <c r="G202" s="200">
        <f t="shared" si="130"/>
        <v>2.9777937402665211E-2</v>
      </c>
    </row>
    <row r="203" spans="1:14" x14ac:dyDescent="0.2">
      <c r="A203" t="str">
        <f t="shared" si="126"/>
        <v>81 Process, plant and machine operatives</v>
      </c>
      <c r="B203" s="11">
        <v>16.58380861586198</v>
      </c>
      <c r="C203" s="11">
        <v>27.032077166354984</v>
      </c>
      <c r="D203" s="11">
        <f t="shared" si="135"/>
        <v>10.448268550493005</v>
      </c>
      <c r="E203" s="11">
        <v>8.2743084417172579</v>
      </c>
      <c r="F203" s="11">
        <f t="shared" ref="F203:F204" si="138">SUM(D203:E203)</f>
        <v>18.722576992210264</v>
      </c>
      <c r="G203" s="200">
        <f t="shared" si="130"/>
        <v>2.7351194235875065E-2</v>
      </c>
    </row>
    <row r="204" spans="1:14" x14ac:dyDescent="0.2">
      <c r="A204" t="str">
        <f t="shared" si="126"/>
        <v>82 Transport and mobile machine drivers and operatives</v>
      </c>
      <c r="B204" s="11">
        <v>17.851821933247567</v>
      </c>
      <c r="C204" s="11">
        <v>24.451714756388604</v>
      </c>
      <c r="D204" s="11">
        <f t="shared" si="135"/>
        <v>6.5998928231410368</v>
      </c>
      <c r="E204" s="11">
        <v>10.913722334213929</v>
      </c>
      <c r="F204" s="11">
        <f t="shared" si="138"/>
        <v>17.513615157354966</v>
      </c>
      <c r="G204" s="200">
        <f t="shared" si="130"/>
        <v>3.2316027053943985E-2</v>
      </c>
    </row>
    <row r="205" spans="1:14" x14ac:dyDescent="0.2">
      <c r="A205" t="str">
        <f t="shared" si="126"/>
        <v>91 Elementary trades and related occupations</v>
      </c>
      <c r="B205" s="11">
        <v>7.7076000425256597</v>
      </c>
      <c r="C205" s="11">
        <v>9.0661651203378515</v>
      </c>
      <c r="D205" s="11">
        <f t="shared" si="135"/>
        <v>1.3585650778121918</v>
      </c>
      <c r="E205" s="11">
        <v>2.9587896789157768</v>
      </c>
      <c r="F205" s="11">
        <f t="shared" ref="F205" si="139">SUM(D205:E205)</f>
        <v>4.3173547567279691</v>
      </c>
      <c r="G205" s="200">
        <f t="shared" si="130"/>
        <v>2.1895653190842523E-2</v>
      </c>
    </row>
    <row r="206" spans="1:14" x14ac:dyDescent="0.2">
      <c r="A206" t="str">
        <f t="shared" si="126"/>
        <v>92 Elementary administration and service occupations</v>
      </c>
      <c r="B206" s="11">
        <v>50.118329807174973</v>
      </c>
      <c r="C206" s="11">
        <v>52.053404867048812</v>
      </c>
      <c r="D206" s="11">
        <f t="shared" ref="D206" si="140">C206-B206</f>
        <v>1.9350750598738387</v>
      </c>
      <c r="E206" s="11">
        <v>24.207690366822874</v>
      </c>
      <c r="F206" s="11">
        <f t="shared" ref="F206" si="141">SUM(D206:E206)</f>
        <v>26.142765426696712</v>
      </c>
      <c r="G206" s="200">
        <f t="shared" ref="G206" si="142">IF(B206&gt;0,(1+(E206/B206))^(1/($C$6-$B$6))-1,0)</f>
        <v>2.6619760316202168E-2</v>
      </c>
    </row>
    <row r="207" spans="1:14" x14ac:dyDescent="0.2">
      <c r="A207" t="str">
        <f t="shared" si="126"/>
        <v>All occupations</v>
      </c>
      <c r="B207" s="11">
        <f>SUM(B181:B206)</f>
        <v>641.26058900496469</v>
      </c>
      <c r="C207" s="11">
        <f t="shared" ref="C207:F207" si="143">SUM(C181:C206)</f>
        <v>693.86284553455812</v>
      </c>
      <c r="D207" s="11">
        <f t="shared" si="143"/>
        <v>52.602256529593596</v>
      </c>
      <c r="E207" s="11">
        <f t="shared" si="143"/>
        <v>290.03219116366944</v>
      </c>
      <c r="F207" s="11">
        <f t="shared" si="143"/>
        <v>342.6344476932631</v>
      </c>
      <c r="G207" s="200">
        <f t="shared" si="130"/>
        <v>2.5187838810816432E-2</v>
      </c>
    </row>
    <row r="209" spans="1:7" ht="38.25" x14ac:dyDescent="0.2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2">
      <c r="A210" t="str">
        <f t="shared" ref="A210:A236" si="145">A123</f>
        <v>11 Corporate managers and directors</v>
      </c>
      <c r="B210" s="11">
        <v>30.54568268457313</v>
      </c>
      <c r="C210" s="11">
        <v>16.820789943733281</v>
      </c>
      <c r="D210" s="11">
        <f>C210-B210</f>
        <v>-13.724892740839849</v>
      </c>
      <c r="E210" s="11">
        <v>10.223092990920891</v>
      </c>
      <c r="F210" s="11">
        <f>SUM(D210:E210)</f>
        <v>-3.5017997499189573</v>
      </c>
      <c r="G210" s="200">
        <f>IF(B210&gt;0,(1+(E210/B210))^(1/($C$6-$B$6))-1,0)</f>
        <v>1.9432610890530722E-2</v>
      </c>
    </row>
    <row r="211" spans="1:7" x14ac:dyDescent="0.2">
      <c r="A211" t="str">
        <f t="shared" si="145"/>
        <v>12 Other managers and proprietors</v>
      </c>
      <c r="B211" s="11">
        <v>21.726401752317088</v>
      </c>
      <c r="C211" s="11">
        <v>19.196703660334098</v>
      </c>
      <c r="D211" s="11">
        <f t="shared" ref="D211:D226" si="146">C211-B211</f>
        <v>-2.5296980919829899</v>
      </c>
      <c r="E211" s="11">
        <v>11.981417566222202</v>
      </c>
      <c r="F211" s="11">
        <f t="shared" ref="F211:F218" si="147">SUM(D211:E211)</f>
        <v>9.4517194742392121</v>
      </c>
      <c r="G211" s="200">
        <f t="shared" ref="G211:G213" si="148">IF(B211&gt;0,(1+(E211/B211))^(1/($C$6-$B$6))-1,0)</f>
        <v>2.9712986718414269E-2</v>
      </c>
    </row>
    <row r="212" spans="1:7" x14ac:dyDescent="0.2">
      <c r="A212" t="str">
        <f t="shared" si="145"/>
        <v>21 Science, research, engineering and technology professionals</v>
      </c>
      <c r="B212" s="11">
        <v>17.265837430697967</v>
      </c>
      <c r="C212" s="11">
        <v>11.77726649237532</v>
      </c>
      <c r="D212" s="11">
        <f t="shared" si="146"/>
        <v>-5.4885709383226473</v>
      </c>
      <c r="E212" s="11">
        <v>4.8685977673453955</v>
      </c>
      <c r="F212" s="11">
        <f t="shared" si="147"/>
        <v>-0.6199731709772518</v>
      </c>
      <c r="G212" s="200">
        <f t="shared" si="148"/>
        <v>1.6698196439490554E-2</v>
      </c>
    </row>
    <row r="213" spans="1:7" x14ac:dyDescent="0.2">
      <c r="A213" t="str">
        <f t="shared" si="145"/>
        <v>22 Health professionals</v>
      </c>
      <c r="B213" s="11">
        <v>10.369319486390932</v>
      </c>
      <c r="C213" s="11">
        <v>7.5511510766437393</v>
      </c>
      <c r="D213" s="11">
        <f t="shared" si="146"/>
        <v>-2.8181684097471926</v>
      </c>
      <c r="E213" s="11">
        <v>4.6743871688734266</v>
      </c>
      <c r="F213" s="11">
        <f t="shared" si="147"/>
        <v>1.856218759126234</v>
      </c>
      <c r="G213" s="200">
        <f t="shared" si="148"/>
        <v>2.5117482368633981E-2</v>
      </c>
    </row>
    <row r="214" spans="1:7" x14ac:dyDescent="0.2">
      <c r="A214" t="str">
        <f t="shared" si="145"/>
        <v>23 Teaching and other educational professionals</v>
      </c>
      <c r="B214" s="11">
        <v>4.5163082391001543</v>
      </c>
      <c r="C214" s="11">
        <v>2.9859970375575462</v>
      </c>
      <c r="D214" s="11">
        <f t="shared" si="146"/>
        <v>-1.5303112015426081</v>
      </c>
      <c r="E214" s="11">
        <v>1.7741171800849234</v>
      </c>
      <c r="F214" s="11">
        <f t="shared" si="147"/>
        <v>0.24380597854231523</v>
      </c>
      <c r="G214" s="200">
        <f>IF(B214&gt;0,(1+(E214/B214))^(1/($C$6-$B$6))-1,0)</f>
        <v>2.2334686687097038E-2</v>
      </c>
    </row>
    <row r="215" spans="1:7" x14ac:dyDescent="0.2">
      <c r="A215" t="str">
        <f t="shared" si="145"/>
        <v>24 Business, media and public service professionals</v>
      </c>
      <c r="B215" s="11">
        <v>17.747764968659613</v>
      </c>
      <c r="C215" s="11">
        <v>12.414451935119747</v>
      </c>
      <c r="D215" s="11">
        <f t="shared" si="146"/>
        <v>-5.3333130335398664</v>
      </c>
      <c r="E215" s="11">
        <v>6.3000584829108179</v>
      </c>
      <c r="F215" s="11">
        <f t="shared" si="147"/>
        <v>0.96674544937095153</v>
      </c>
      <c r="G215" s="200">
        <f t="shared" ref="G215:G236" si="149">IF(B215&gt;0,(1+(E215/B215))^(1/($C$6-$B$6))-1,0)</f>
        <v>2.0458796561271253E-2</v>
      </c>
    </row>
    <row r="216" spans="1:7" x14ac:dyDescent="0.2">
      <c r="A216" t="str">
        <f t="shared" si="145"/>
        <v>31 Science, engineering and technology associate professionals</v>
      </c>
      <c r="B216" s="11">
        <v>7.7253427562794625</v>
      </c>
      <c r="C216" s="11">
        <v>5.0873330896412652</v>
      </c>
      <c r="D216" s="11">
        <f t="shared" si="146"/>
        <v>-2.6380096666381974</v>
      </c>
      <c r="E216" s="11">
        <v>2.2683764746482291</v>
      </c>
      <c r="F216" s="11">
        <f t="shared" si="147"/>
        <v>-0.36963319198996825</v>
      </c>
      <c r="G216" s="200">
        <f t="shared" si="149"/>
        <v>1.7311512168052712E-2</v>
      </c>
    </row>
    <row r="217" spans="1:7" x14ac:dyDescent="0.2">
      <c r="A217" t="str">
        <f t="shared" si="145"/>
        <v>32 Health and social care associate professionals</v>
      </c>
      <c r="B217" s="11">
        <v>8.1546963862115991</v>
      </c>
      <c r="C217" s="11">
        <v>5.5802788727442927</v>
      </c>
      <c r="D217" s="11">
        <f t="shared" si="146"/>
        <v>-2.5744175134673064</v>
      </c>
      <c r="E217" s="11">
        <v>3.6237876927401111</v>
      </c>
      <c r="F217" s="11">
        <f t="shared" si="147"/>
        <v>1.0493701792728047</v>
      </c>
      <c r="G217" s="200">
        <f t="shared" si="149"/>
        <v>2.4814921534439316E-2</v>
      </c>
    </row>
    <row r="218" spans="1:7" x14ac:dyDescent="0.2">
      <c r="A218" t="str">
        <f t="shared" si="145"/>
        <v>33 Protective service occupations</v>
      </c>
      <c r="B218" s="11">
        <v>4.7646743513337775</v>
      </c>
      <c r="C218" s="11">
        <v>3.5652700073355481</v>
      </c>
      <c r="D218" s="11">
        <f t="shared" si="146"/>
        <v>-1.1994043439982294</v>
      </c>
      <c r="E218" s="11">
        <v>1.3621134847474687</v>
      </c>
      <c r="F218" s="11">
        <f t="shared" si="147"/>
        <v>0.16270914074923937</v>
      </c>
      <c r="G218" s="200">
        <f t="shared" si="149"/>
        <v>1.6904044236051963E-2</v>
      </c>
    </row>
    <row r="219" spans="1:7" x14ac:dyDescent="0.2">
      <c r="A219" t="str">
        <f t="shared" si="145"/>
        <v>34 Culture, media and sports occupations</v>
      </c>
      <c r="B219" s="11">
        <v>4.3464910515801192</v>
      </c>
      <c r="C219" s="11">
        <v>1.7974905292070478</v>
      </c>
      <c r="D219" s="11">
        <f t="shared" si="146"/>
        <v>-2.5490005223730714</v>
      </c>
      <c r="E219" s="11">
        <v>1.1161710202786239</v>
      </c>
      <c r="F219" s="11">
        <f t="shared" ref="F219:F220" si="150">SUM(D219:E219)</f>
        <v>-1.4328295020944475</v>
      </c>
      <c r="G219" s="200">
        <f t="shared" si="149"/>
        <v>1.5354511921351177E-2</v>
      </c>
    </row>
    <row r="220" spans="1:7" x14ac:dyDescent="0.2">
      <c r="A220" t="str">
        <f t="shared" si="145"/>
        <v>35 Business and public service associate professionals</v>
      </c>
      <c r="B220" s="11">
        <v>25.950748970377603</v>
      </c>
      <c r="C220" s="11">
        <v>15.167706353076442</v>
      </c>
      <c r="D220" s="11">
        <f t="shared" si="146"/>
        <v>-10.783042617301161</v>
      </c>
      <c r="E220" s="11">
        <v>7.808718746465817</v>
      </c>
      <c r="F220" s="11">
        <f t="shared" si="150"/>
        <v>-2.9743238708353443</v>
      </c>
      <c r="G220" s="200">
        <f t="shared" si="149"/>
        <v>1.7692044563927034E-2</v>
      </c>
    </row>
    <row r="221" spans="1:7" x14ac:dyDescent="0.2">
      <c r="A221" t="str">
        <f t="shared" si="145"/>
        <v>41 Administrative occupations</v>
      </c>
      <c r="B221" s="11">
        <v>53.467972975610984</v>
      </c>
      <c r="C221" s="11">
        <v>24.274082030820072</v>
      </c>
      <c r="D221" s="11">
        <f t="shared" si="146"/>
        <v>-29.193890944790912</v>
      </c>
      <c r="E221" s="11">
        <v>16.219808689703267</v>
      </c>
      <c r="F221" s="11">
        <f t="shared" ref="F221:F224" si="151">SUM(D221:E221)</f>
        <v>-12.974082255087644</v>
      </c>
      <c r="G221" s="200">
        <f t="shared" si="149"/>
        <v>1.7819720894775459E-2</v>
      </c>
    </row>
    <row r="222" spans="1:7" x14ac:dyDescent="0.2">
      <c r="A222" t="str">
        <f t="shared" si="145"/>
        <v>42 Secretarial and related occupations</v>
      </c>
      <c r="B222" s="11">
        <v>11.95206013717636</v>
      </c>
      <c r="C222" s="11">
        <v>2.2555234138102409</v>
      </c>
      <c r="D222" s="11">
        <f t="shared" si="146"/>
        <v>-9.696536723366119</v>
      </c>
      <c r="E222" s="11">
        <v>3.396480814794018</v>
      </c>
      <c r="F222" s="11">
        <f t="shared" si="151"/>
        <v>-6.3000559085721015</v>
      </c>
      <c r="G222" s="200">
        <f t="shared" si="149"/>
        <v>1.681424507425322E-2</v>
      </c>
    </row>
    <row r="223" spans="1:7" x14ac:dyDescent="0.2">
      <c r="A223" t="str">
        <f t="shared" si="145"/>
        <v>51 Skilled agricultural and related trades</v>
      </c>
      <c r="B223" s="11">
        <v>9.2869649119970425</v>
      </c>
      <c r="C223" s="11">
        <v>8.1582378428842723</v>
      </c>
      <c r="D223" s="11">
        <f t="shared" si="146"/>
        <v>-1.1287270691127702</v>
      </c>
      <c r="E223" s="11">
        <v>4.5526242328068491</v>
      </c>
      <c r="F223" s="11">
        <f t="shared" si="151"/>
        <v>3.4238971636940789</v>
      </c>
      <c r="G223" s="200">
        <f t="shared" si="149"/>
        <v>2.6951561309908945E-2</v>
      </c>
    </row>
    <row r="224" spans="1:7" x14ac:dyDescent="0.2">
      <c r="A224" t="str">
        <f t="shared" si="145"/>
        <v>52 Skilled metal, electrical and electronic trades</v>
      </c>
      <c r="B224" s="11">
        <v>24.781941869557713</v>
      </c>
      <c r="C224" s="11">
        <v>15.712896380173625</v>
      </c>
      <c r="D224" s="11">
        <f t="shared" si="146"/>
        <v>-9.0690454893840879</v>
      </c>
      <c r="E224" s="11">
        <v>7.7484057368243926</v>
      </c>
      <c r="F224" s="11">
        <f t="shared" si="151"/>
        <v>-1.3206397525596953</v>
      </c>
      <c r="G224" s="200">
        <f t="shared" si="149"/>
        <v>1.8302690738672966E-2</v>
      </c>
    </row>
    <row r="225" spans="1:7" x14ac:dyDescent="0.2">
      <c r="A225" t="str">
        <f t="shared" si="145"/>
        <v>53 Skilled construction and building trades</v>
      </c>
      <c r="B225" s="11">
        <v>29.489560777816436</v>
      </c>
      <c r="C225" s="11">
        <v>30.891173834398547</v>
      </c>
      <c r="D225" s="11">
        <f t="shared" si="146"/>
        <v>1.4016130565821108</v>
      </c>
      <c r="E225" s="11">
        <v>15.004844241096549</v>
      </c>
      <c r="F225" s="11">
        <f t="shared" ref="F225" si="152">SUM(D225:E225)</f>
        <v>16.40645729767866</v>
      </c>
      <c r="G225" s="200">
        <f t="shared" si="149"/>
        <v>2.7801246306628169E-2</v>
      </c>
    </row>
    <row r="226" spans="1:7" x14ac:dyDescent="0.2">
      <c r="A226" t="str">
        <f t="shared" si="145"/>
        <v>54 Textiles, printing and other skilled trades</v>
      </c>
      <c r="B226" s="11">
        <v>14.332610694078696</v>
      </c>
      <c r="C226" s="11">
        <v>10.784916930139817</v>
      </c>
      <c r="D226" s="11">
        <f t="shared" si="146"/>
        <v>-3.547693763938879</v>
      </c>
      <c r="E226" s="11">
        <v>4.9690197512659156</v>
      </c>
      <c r="F226" s="11">
        <f t="shared" ref="F226" si="153">SUM(D226:E226)</f>
        <v>1.4213259873270365</v>
      </c>
      <c r="G226" s="200">
        <f t="shared" si="149"/>
        <v>2.004166804630203E-2</v>
      </c>
    </row>
    <row r="227" spans="1:7" x14ac:dyDescent="0.2">
      <c r="A227" t="str">
        <f t="shared" si="145"/>
        <v>61 Caring personal service occupations</v>
      </c>
      <c r="B227" s="11">
        <v>51.564967301638042</v>
      </c>
      <c r="C227" s="11">
        <v>37.394917256309029</v>
      </c>
      <c r="D227" s="11">
        <f>C227-B227</f>
        <v>-14.170050045329013</v>
      </c>
      <c r="E227" s="11">
        <v>23.30957229324903</v>
      </c>
      <c r="F227" s="11">
        <f>SUM(D227:E227)</f>
        <v>9.1395222479200164</v>
      </c>
      <c r="G227" s="200">
        <f t="shared" si="149"/>
        <v>2.5176465858778085E-2</v>
      </c>
    </row>
    <row r="228" spans="1:7" x14ac:dyDescent="0.2">
      <c r="A228" t="str">
        <f t="shared" si="145"/>
        <v>62 Leisure, travel and related personal service occupations</v>
      </c>
      <c r="B228" s="11">
        <v>15.125472124909484</v>
      </c>
      <c r="C228" s="11">
        <v>11.31675408209391</v>
      </c>
      <c r="D228" s="11">
        <f t="shared" ref="D228:D234" si="154">C228-B228</f>
        <v>-3.808718042815574</v>
      </c>
      <c r="E228" s="11">
        <v>6.6117090879271316</v>
      </c>
      <c r="F228" s="11">
        <f t="shared" ref="F228:F229" si="155">SUM(D228:E228)</f>
        <v>2.8029910451115576</v>
      </c>
      <c r="G228" s="200">
        <f t="shared" si="149"/>
        <v>2.4470881768234864E-2</v>
      </c>
    </row>
    <row r="229" spans="1:7" x14ac:dyDescent="0.2">
      <c r="A229" t="str">
        <f t="shared" si="145"/>
        <v>63 Community and civil enforcement occupations</v>
      </c>
      <c r="B229" s="11">
        <v>0.67042170461611927</v>
      </c>
      <c r="C229" s="11">
        <v>0.38513823659655122</v>
      </c>
      <c r="D229" s="11">
        <f t="shared" si="154"/>
        <v>-0.28528346801956805</v>
      </c>
      <c r="E229" s="11">
        <v>0.19470199020339765</v>
      </c>
      <c r="F229" s="11">
        <f t="shared" si="155"/>
        <v>-9.0581477816170403E-2</v>
      </c>
      <c r="G229" s="200">
        <f t="shared" si="149"/>
        <v>1.7142987791927355E-2</v>
      </c>
    </row>
    <row r="230" spans="1:7" x14ac:dyDescent="0.2">
      <c r="A230" t="str">
        <f t="shared" si="145"/>
        <v>71 Sales occupations</v>
      </c>
      <c r="B230" s="11">
        <v>51.399027447717486</v>
      </c>
      <c r="C230" s="11">
        <v>33.508351667654928</v>
      </c>
      <c r="D230" s="11">
        <f t="shared" si="154"/>
        <v>-17.890675780062558</v>
      </c>
      <c r="E230" s="11">
        <v>19.771966523648111</v>
      </c>
      <c r="F230" s="11">
        <f t="shared" ref="F230:F231" si="156">SUM(D230:E230)</f>
        <v>1.8812907435855521</v>
      </c>
      <c r="G230" s="200">
        <f t="shared" si="149"/>
        <v>2.1934847506666744E-2</v>
      </c>
    </row>
    <row r="231" spans="1:7" x14ac:dyDescent="0.2">
      <c r="A231" t="str">
        <f t="shared" si="145"/>
        <v>72 Customer service occupations</v>
      </c>
      <c r="B231" s="11">
        <v>11.736829741670455</v>
      </c>
      <c r="C231" s="11">
        <v>12.43157482654075</v>
      </c>
      <c r="D231" s="11">
        <f t="shared" si="154"/>
        <v>0.69474508487029496</v>
      </c>
      <c r="E231" s="11">
        <v>6.2194285000240903</v>
      </c>
      <c r="F231" s="11">
        <f t="shared" si="156"/>
        <v>6.9141735848943853</v>
      </c>
      <c r="G231" s="200">
        <f t="shared" si="149"/>
        <v>2.8752734332173402E-2</v>
      </c>
    </row>
    <row r="232" spans="1:7" x14ac:dyDescent="0.2">
      <c r="A232" t="str">
        <f t="shared" si="145"/>
        <v>81 Process, plant and machine operatives</v>
      </c>
      <c r="B232" s="11">
        <v>18.684829232865479</v>
      </c>
      <c r="C232" s="11">
        <v>20.844653397867862</v>
      </c>
      <c r="D232" s="11">
        <f t="shared" si="154"/>
        <v>2.1598241650023837</v>
      </c>
      <c r="E232" s="11">
        <v>8.7428483457173662</v>
      </c>
      <c r="F232" s="11">
        <f t="shared" ref="F232:F233" si="157">SUM(D232:E232)</f>
        <v>10.90267251071975</v>
      </c>
      <c r="G232" s="200">
        <f t="shared" si="149"/>
        <v>2.5919599586462505E-2</v>
      </c>
    </row>
    <row r="233" spans="1:7" x14ac:dyDescent="0.2">
      <c r="A233" t="str">
        <f t="shared" si="145"/>
        <v>82 Transport and mobile machine drivers and operatives</v>
      </c>
      <c r="B233" s="11">
        <v>24.668566540490769</v>
      </c>
      <c r="C233" s="11">
        <v>24.90765110712811</v>
      </c>
      <c r="D233" s="11">
        <f t="shared" si="154"/>
        <v>0.23908456663734157</v>
      </c>
      <c r="E233" s="11">
        <v>14.668474156214049</v>
      </c>
      <c r="F233" s="11">
        <f t="shared" si="157"/>
        <v>14.907558722851391</v>
      </c>
      <c r="G233" s="200">
        <f t="shared" si="149"/>
        <v>3.1598063172763036E-2</v>
      </c>
    </row>
    <row r="234" spans="1:7" x14ac:dyDescent="0.2">
      <c r="A234" t="str">
        <f t="shared" si="145"/>
        <v>91 Elementary trades and related occupations</v>
      </c>
      <c r="B234" s="11">
        <v>9.9814619038649539</v>
      </c>
      <c r="C234" s="11">
        <v>7.0078540989212366</v>
      </c>
      <c r="D234" s="11">
        <f t="shared" si="154"/>
        <v>-2.9736078049437173</v>
      </c>
      <c r="E234" s="11">
        <v>3.2534586413961213</v>
      </c>
      <c r="F234" s="11">
        <f t="shared" ref="F234" si="158">SUM(D234:E234)</f>
        <v>0.27985083645240394</v>
      </c>
      <c r="G234" s="200">
        <f t="shared" si="149"/>
        <v>1.8986614213365227E-2</v>
      </c>
    </row>
    <row r="235" spans="1:7" x14ac:dyDescent="0.2">
      <c r="A235" t="str">
        <f t="shared" si="145"/>
        <v>92 Elementary administration and service occupations</v>
      </c>
      <c r="B235" s="11">
        <v>73.969081185066997</v>
      </c>
      <c r="C235" s="11">
        <v>61.996422867378847</v>
      </c>
      <c r="D235" s="11">
        <f t="shared" ref="D235" si="159">C235-B235</f>
        <v>-11.97265831768815</v>
      </c>
      <c r="E235" s="11">
        <v>34.951744148526316</v>
      </c>
      <c r="F235" s="11">
        <f t="shared" ref="F235" si="160">SUM(D235:E235)</f>
        <v>22.979085830838166</v>
      </c>
      <c r="G235" s="200">
        <f t="shared" ref="G235" si="161">IF(B235&gt;0,(1+(E235/B235))^(1/($C$6-$B$6))-1,0)</f>
        <v>2.6133926357855275E-2</v>
      </c>
    </row>
    <row r="236" spans="1:7" x14ac:dyDescent="0.2">
      <c r="A236" t="str">
        <f t="shared" si="145"/>
        <v>All occupations</v>
      </c>
      <c r="B236" s="11">
        <f>SUM(B210:B235)</f>
        <v>554.22503662659847</v>
      </c>
      <c r="C236" s="11">
        <f t="shared" ref="C236:F236" si="162">SUM(C210:C235)</f>
        <v>403.81458697048612</v>
      </c>
      <c r="D236" s="11">
        <f t="shared" si="162"/>
        <v>-150.41044965611235</v>
      </c>
      <c r="E236" s="11">
        <f t="shared" si="162"/>
        <v>225.61592572863447</v>
      </c>
      <c r="F236" s="11">
        <f t="shared" si="162"/>
        <v>75.205476072522174</v>
      </c>
      <c r="G236" s="200">
        <f t="shared" si="149"/>
        <v>2.3029114473887224E-2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2">
      <c r="A239" t="str">
        <f t="shared" ref="A239:A265" si="164">A152</f>
        <v>11 Corporate managers and directors</v>
      </c>
      <c r="B239" s="11">
        <v>21.761868795374788</v>
      </c>
      <c r="C239" s="11">
        <v>16.642039174633226</v>
      </c>
      <c r="D239" s="11">
        <f>C239-B239</f>
        <v>-5.1198296207415623</v>
      </c>
      <c r="E239" s="11">
        <v>7.114759259717041</v>
      </c>
      <c r="F239" s="11">
        <f>SUM(D239:E239)</f>
        <v>1.9949296389754787</v>
      </c>
      <c r="G239" s="200">
        <f>IF(B239&gt;0,(1+(E239/B239))^(1/($C$6-$B$6))-1,0)</f>
        <v>1.9037155867308808E-2</v>
      </c>
    </row>
    <row r="240" spans="1:7" x14ac:dyDescent="0.2">
      <c r="A240" t="str">
        <f t="shared" si="164"/>
        <v>12 Other managers and proprietors</v>
      </c>
      <c r="B240" s="11">
        <v>16.016808570495527</v>
      </c>
      <c r="C240" s="11">
        <v>14.866727046731318</v>
      </c>
      <c r="D240" s="11">
        <f t="shared" ref="D240:D255" si="165">C240-B240</f>
        <v>-1.150081523764209</v>
      </c>
      <c r="E240" s="11">
        <v>7.1158074113638614</v>
      </c>
      <c r="F240" s="11">
        <f t="shared" ref="F240:F247" si="166">SUM(D240:E240)</f>
        <v>5.9657258875996524</v>
      </c>
      <c r="G240" s="200">
        <f t="shared" ref="G240:G242" si="167">IF(B240&gt;0,(1+(E240/B240))^(1/($C$6-$B$6))-1,0)</f>
        <v>2.4809755353950136E-2</v>
      </c>
    </row>
    <row r="241" spans="1:7" x14ac:dyDescent="0.2">
      <c r="A241" t="str">
        <f t="shared" si="164"/>
        <v>21 Science, research, engineering and technology professionals</v>
      </c>
      <c r="B241" s="11">
        <v>10.434538584098489</v>
      </c>
      <c r="C241" s="11">
        <v>6.9176591014375814</v>
      </c>
      <c r="D241" s="11">
        <f t="shared" si="165"/>
        <v>-3.5168794826609071</v>
      </c>
      <c r="E241" s="11">
        <v>2.3770908273193423</v>
      </c>
      <c r="F241" s="11">
        <f t="shared" si="166"/>
        <v>-1.1397886553415648</v>
      </c>
      <c r="G241" s="200">
        <f t="shared" si="167"/>
        <v>1.377616103838486E-2</v>
      </c>
    </row>
    <row r="242" spans="1:7" x14ac:dyDescent="0.2">
      <c r="A242" t="str">
        <f t="shared" si="164"/>
        <v>22 Health professionals</v>
      </c>
      <c r="B242" s="11">
        <v>5.5523938157879247</v>
      </c>
      <c r="C242" s="11">
        <v>3.9097366007160335</v>
      </c>
      <c r="D242" s="11">
        <f t="shared" si="165"/>
        <v>-1.6426572150718912</v>
      </c>
      <c r="E242" s="11">
        <v>1.848796094593335</v>
      </c>
      <c r="F242" s="11">
        <f t="shared" si="166"/>
        <v>0.20613887952144383</v>
      </c>
      <c r="G242" s="200">
        <f t="shared" si="167"/>
        <v>1.9345521267348786E-2</v>
      </c>
    </row>
    <row r="243" spans="1:7" x14ac:dyDescent="0.2">
      <c r="A243" t="str">
        <f t="shared" si="164"/>
        <v>23 Teaching and other educational professionals</v>
      </c>
      <c r="B243" s="11">
        <v>4.0626442812652002</v>
      </c>
      <c r="C243" s="11">
        <v>3.1687493256739763</v>
      </c>
      <c r="D243" s="11">
        <f t="shared" si="165"/>
        <v>-0.89389495559122389</v>
      </c>
      <c r="E243" s="11">
        <v>1.4268840349805962</v>
      </c>
      <c r="F243" s="11">
        <f t="shared" si="166"/>
        <v>0.53298907938937234</v>
      </c>
      <c r="G243" s="200">
        <f>IF(B243&gt;0,(1+(E243/B243))^(1/($C$6-$B$6))-1,0)</f>
        <v>2.0269918396769393E-2</v>
      </c>
    </row>
    <row r="244" spans="1:7" x14ac:dyDescent="0.2">
      <c r="A244" t="str">
        <f t="shared" si="164"/>
        <v>24 Business, media and public service professionals</v>
      </c>
      <c r="B244" s="11">
        <v>11.482759436271838</v>
      </c>
      <c r="C244" s="11">
        <v>8.6928810120160982</v>
      </c>
      <c r="D244" s="11">
        <f t="shared" si="165"/>
        <v>-2.7898784242557397</v>
      </c>
      <c r="E244" s="11">
        <v>3.5265031954948736</v>
      </c>
      <c r="F244" s="11">
        <f t="shared" si="166"/>
        <v>0.73662477123913384</v>
      </c>
      <c r="G244" s="200">
        <f t="shared" ref="G244:G265" si="168">IF(B244&gt;0,(1+(E244/B244))^(1/($C$6-$B$6))-1,0)</f>
        <v>1.801506762187155E-2</v>
      </c>
    </row>
    <row r="245" spans="1:7" x14ac:dyDescent="0.2">
      <c r="A245" t="str">
        <f t="shared" si="164"/>
        <v>31 Science, engineering and technology associate professionals</v>
      </c>
      <c r="B245" s="11">
        <v>6.5715146128025523</v>
      </c>
      <c r="C245" s="11">
        <v>4.7925180641339713</v>
      </c>
      <c r="D245" s="11">
        <f t="shared" si="165"/>
        <v>-1.778996548668581</v>
      </c>
      <c r="E245" s="11">
        <v>1.7118999040863472</v>
      </c>
      <c r="F245" s="11">
        <f t="shared" si="166"/>
        <v>-6.7096644582233855E-2</v>
      </c>
      <c r="G245" s="200">
        <f>IF(B245&gt;0,(1+(E245/B245))^(1/($C$6-$B$6))-1,0)</f>
        <v>1.5553781862918337E-2</v>
      </c>
    </row>
    <row r="246" spans="1:7" x14ac:dyDescent="0.2">
      <c r="A246" t="str">
        <f t="shared" si="164"/>
        <v>32 Health and social care associate professionals</v>
      </c>
      <c r="B246" s="11">
        <v>2.6867599049150916</v>
      </c>
      <c r="C246" s="11">
        <v>1.717788410134955</v>
      </c>
      <c r="D246" s="11">
        <f t="shared" si="165"/>
        <v>-0.96897149478013667</v>
      </c>
      <c r="E246" s="11">
        <v>0.82802674869404547</v>
      </c>
      <c r="F246" s="11">
        <f t="shared" si="166"/>
        <v>-0.1409447460860912</v>
      </c>
      <c r="G246" s="200">
        <f t="shared" si="168"/>
        <v>1.8070860980412107E-2</v>
      </c>
    </row>
    <row r="247" spans="1:7" x14ac:dyDescent="0.2">
      <c r="A247" t="str">
        <f t="shared" si="164"/>
        <v>33 Protective service occupations</v>
      </c>
      <c r="B247" s="11">
        <v>2.8310036908184895</v>
      </c>
      <c r="C247" s="11">
        <v>3.3872582026874021</v>
      </c>
      <c r="D247" s="11">
        <f t="shared" si="165"/>
        <v>0.55625451186891262</v>
      </c>
      <c r="E247" s="11">
        <v>0.99910800504525832</v>
      </c>
      <c r="F247" s="11">
        <f t="shared" si="166"/>
        <v>1.5553625169141709</v>
      </c>
      <c r="G247" s="200">
        <f t="shared" si="168"/>
        <v>2.0355242635673898E-2</v>
      </c>
    </row>
    <row r="248" spans="1:7" x14ac:dyDescent="0.2">
      <c r="A248" t="str">
        <f t="shared" si="164"/>
        <v>34 Culture, media and sports occupations</v>
      </c>
      <c r="B248" s="11">
        <v>4.102207798422846</v>
      </c>
      <c r="C248" s="11">
        <v>2.6915827513515431</v>
      </c>
      <c r="D248" s="11">
        <f t="shared" si="165"/>
        <v>-1.4106250470713029</v>
      </c>
      <c r="E248" s="11">
        <v>1.1265584121803716</v>
      </c>
      <c r="F248" s="11">
        <f t="shared" ref="F248:F249" si="169">SUM(D248:E248)</f>
        <v>-0.28406663489093131</v>
      </c>
      <c r="G248" s="200">
        <f t="shared" si="168"/>
        <v>1.630821921925496E-2</v>
      </c>
    </row>
    <row r="249" spans="1:7" x14ac:dyDescent="0.2">
      <c r="A249" t="str">
        <f t="shared" si="164"/>
        <v>35 Business and public service associate professionals</v>
      </c>
      <c r="B249" s="11">
        <v>16.118578705636505</v>
      </c>
      <c r="C249" s="11">
        <v>9.2956496686926648</v>
      </c>
      <c r="D249" s="11">
        <f t="shared" si="165"/>
        <v>-6.8229290369438402</v>
      </c>
      <c r="E249" s="11">
        <v>3.8339833875206022</v>
      </c>
      <c r="F249" s="11">
        <f t="shared" si="169"/>
        <v>-2.988945649423238</v>
      </c>
      <c r="G249" s="200">
        <f t="shared" si="168"/>
        <v>1.4327332794837222E-2</v>
      </c>
    </row>
    <row r="250" spans="1:7" x14ac:dyDescent="0.2">
      <c r="A250" t="str">
        <f t="shared" si="164"/>
        <v>41 Administrative occupations</v>
      </c>
      <c r="B250" s="11">
        <v>28.910001256352519</v>
      </c>
      <c r="C250" s="11">
        <v>7.2486487131625443</v>
      </c>
      <c r="D250" s="11">
        <f t="shared" si="165"/>
        <v>-21.661352543189974</v>
      </c>
      <c r="E250" s="11">
        <v>5.3368320814132124</v>
      </c>
      <c r="F250" s="11">
        <f t="shared" ref="F250:F253" si="170">SUM(D250:E250)</f>
        <v>-16.324520461776761</v>
      </c>
      <c r="G250" s="200">
        <f t="shared" si="168"/>
        <v>1.1357782260459359E-2</v>
      </c>
    </row>
    <row r="251" spans="1:7" x14ac:dyDescent="0.2">
      <c r="A251" t="str">
        <f t="shared" si="164"/>
        <v>42 Secretarial and related occupations</v>
      </c>
      <c r="B251" s="11">
        <v>11.373289086129168</v>
      </c>
      <c r="C251" s="11">
        <v>2.1630108799827004</v>
      </c>
      <c r="D251" s="11">
        <f t="shared" si="165"/>
        <v>-9.2102782061464676</v>
      </c>
      <c r="E251" s="11">
        <v>2.1971560141988444</v>
      </c>
      <c r="F251" s="11">
        <f t="shared" si="170"/>
        <v>-7.0131221919476232</v>
      </c>
      <c r="G251" s="200">
        <f t="shared" si="168"/>
        <v>1.1844714924357014E-2</v>
      </c>
    </row>
    <row r="252" spans="1:7" x14ac:dyDescent="0.2">
      <c r="A252" t="str">
        <f t="shared" si="164"/>
        <v>51 Skilled agricultural and related trades</v>
      </c>
      <c r="B252" s="11">
        <v>8.3633018948480196</v>
      </c>
      <c r="C252" s="11">
        <v>8.5732634285393399</v>
      </c>
      <c r="D252" s="11">
        <f t="shared" si="165"/>
        <v>0.20996153369132031</v>
      </c>
      <c r="E252" s="11">
        <v>3.2953321948669116</v>
      </c>
      <c r="F252" s="11">
        <f t="shared" si="170"/>
        <v>3.505293728558232</v>
      </c>
      <c r="G252" s="200">
        <f t="shared" si="168"/>
        <v>2.2393296272043894E-2</v>
      </c>
    </row>
    <row r="253" spans="1:7" x14ac:dyDescent="0.2">
      <c r="A253" t="str">
        <f t="shared" si="164"/>
        <v>52 Skilled metal, electrical and electronic trades</v>
      </c>
      <c r="B253" s="11">
        <v>12.463072600673964</v>
      </c>
      <c r="C253" s="11">
        <v>6.51171785376697</v>
      </c>
      <c r="D253" s="11">
        <f t="shared" si="165"/>
        <v>-5.9513547469069943</v>
      </c>
      <c r="E253" s="11">
        <v>3.3826128294990148</v>
      </c>
      <c r="F253" s="11">
        <f t="shared" si="170"/>
        <v>-2.5687419174079795</v>
      </c>
      <c r="G253" s="200">
        <f t="shared" si="168"/>
        <v>1.6137300217867523E-2</v>
      </c>
    </row>
    <row r="254" spans="1:7" x14ac:dyDescent="0.2">
      <c r="A254" t="str">
        <f t="shared" si="164"/>
        <v>53 Skilled construction and building trades</v>
      </c>
      <c r="B254" s="11">
        <v>14.580282622846859</v>
      </c>
      <c r="C254" s="11">
        <v>16.831688588494345</v>
      </c>
      <c r="D254" s="11">
        <f t="shared" si="165"/>
        <v>2.2514059656474856</v>
      </c>
      <c r="E254" s="11">
        <v>5.8997114441521621</v>
      </c>
      <c r="F254" s="11">
        <f t="shared" ref="F254" si="171">SUM(D254:E254)</f>
        <v>8.1511174097996477</v>
      </c>
      <c r="G254" s="200">
        <f t="shared" si="168"/>
        <v>2.2910395620898472E-2</v>
      </c>
    </row>
    <row r="255" spans="1:7" x14ac:dyDescent="0.2">
      <c r="A255" t="str">
        <f t="shared" si="164"/>
        <v>54 Textiles, printing and other skilled trades</v>
      </c>
      <c r="B255" s="11">
        <v>12.016419098663183</v>
      </c>
      <c r="C255" s="11">
        <v>8.5839960275856662</v>
      </c>
      <c r="D255" s="11">
        <f t="shared" si="165"/>
        <v>-3.4324230710775172</v>
      </c>
      <c r="E255" s="11">
        <v>3.7168285545542585</v>
      </c>
      <c r="F255" s="11">
        <f t="shared" ref="F255" si="172">SUM(D255:E255)</f>
        <v>0.28440548347674133</v>
      </c>
      <c r="G255" s="200">
        <f t="shared" si="168"/>
        <v>1.8129186520164264E-2</v>
      </c>
    </row>
    <row r="256" spans="1:7" x14ac:dyDescent="0.2">
      <c r="A256" t="str">
        <f t="shared" si="164"/>
        <v>61 Caring personal service occupations</v>
      </c>
      <c r="B256" s="11">
        <v>8.7433907459060851</v>
      </c>
      <c r="C256" s="11">
        <v>6.2421535073322501</v>
      </c>
      <c r="D256" s="11">
        <f>C256-B256</f>
        <v>-2.5012372385738351</v>
      </c>
      <c r="E256" s="11">
        <v>1.9644534523897195</v>
      </c>
      <c r="F256" s="11">
        <f>SUM(D256:E256)</f>
        <v>-0.5367837861841156</v>
      </c>
      <c r="G256" s="200">
        <f t="shared" si="168"/>
        <v>1.3603598524446037E-2</v>
      </c>
    </row>
    <row r="257" spans="1:7" x14ac:dyDescent="0.2">
      <c r="A257" t="str">
        <f t="shared" si="164"/>
        <v>62 Leisure, travel and related personal service occupations</v>
      </c>
      <c r="B257" s="11">
        <v>11.375271679361537</v>
      </c>
      <c r="C257" s="11">
        <v>12.309258666427919</v>
      </c>
      <c r="D257" s="11">
        <f t="shared" ref="D257:D263" si="173">C257-B257</f>
        <v>0.9339869870663815</v>
      </c>
      <c r="E257" s="11">
        <v>4.8005641156532768</v>
      </c>
      <c r="F257" s="11">
        <f t="shared" ref="F257:F258" si="174">SUM(D257:E257)</f>
        <v>5.7345511027196583</v>
      </c>
      <c r="G257" s="200">
        <f t="shared" si="168"/>
        <v>2.3749407579852777E-2</v>
      </c>
    </row>
    <row r="258" spans="1:7" x14ac:dyDescent="0.2">
      <c r="A258" t="str">
        <f t="shared" si="164"/>
        <v>63 Community and civil enforcement occupations</v>
      </c>
      <c r="B258" s="11">
        <v>0.60461858331216967</v>
      </c>
      <c r="C258" s="11">
        <v>0.49048579394341946</v>
      </c>
      <c r="D258" s="11">
        <f t="shared" si="173"/>
        <v>-0.11413278936875021</v>
      </c>
      <c r="E258" s="11">
        <v>0.17366682519069965</v>
      </c>
      <c r="F258" s="11">
        <f t="shared" si="174"/>
        <v>5.9534035821949438E-2</v>
      </c>
      <c r="G258" s="200">
        <f t="shared" si="168"/>
        <v>1.697550628874156E-2</v>
      </c>
    </row>
    <row r="259" spans="1:7" x14ac:dyDescent="0.2">
      <c r="A259" t="str">
        <f t="shared" si="164"/>
        <v>71 Sales occupations</v>
      </c>
      <c r="B259" s="11">
        <v>37.874963105930128</v>
      </c>
      <c r="C259" s="11">
        <v>11.134139018362561</v>
      </c>
      <c r="D259" s="11">
        <f t="shared" si="173"/>
        <v>-26.740824087567567</v>
      </c>
      <c r="E259" s="11">
        <v>8.4932399535038083</v>
      </c>
      <c r="F259" s="11">
        <f t="shared" ref="F259:F260" si="175">SUM(D259:E259)</f>
        <v>-18.247584134063757</v>
      </c>
      <c r="G259" s="200">
        <f t="shared" si="168"/>
        <v>1.357962044769212E-2</v>
      </c>
    </row>
    <row r="260" spans="1:7" x14ac:dyDescent="0.2">
      <c r="A260" t="str">
        <f t="shared" si="164"/>
        <v>72 Customer service occupations</v>
      </c>
      <c r="B260" s="11">
        <v>5.8339123484472513</v>
      </c>
      <c r="C260" s="11">
        <v>4.9222893691332272</v>
      </c>
      <c r="D260" s="11">
        <f t="shared" si="173"/>
        <v>-0.91162297931402403</v>
      </c>
      <c r="E260" s="11">
        <v>1.6916566564255768</v>
      </c>
      <c r="F260" s="11">
        <f t="shared" si="175"/>
        <v>0.7800336771115528</v>
      </c>
      <c r="G260" s="200">
        <f t="shared" si="168"/>
        <v>1.7119458409719179E-2</v>
      </c>
    </row>
    <row r="261" spans="1:7" x14ac:dyDescent="0.2">
      <c r="A261" t="str">
        <f t="shared" si="164"/>
        <v>81 Process, plant and machine operatives</v>
      </c>
      <c r="B261" s="11">
        <v>15.034959874432277</v>
      </c>
      <c r="C261" s="11">
        <v>6.3767768550854527</v>
      </c>
      <c r="D261" s="11">
        <f t="shared" si="173"/>
        <v>-8.6581830193468239</v>
      </c>
      <c r="E261" s="11">
        <v>4.0585682083100574</v>
      </c>
      <c r="F261" s="11">
        <f t="shared" ref="F261:F262" si="176">SUM(D261:E261)</f>
        <v>-4.5996148110367665</v>
      </c>
      <c r="G261" s="200">
        <f t="shared" si="168"/>
        <v>1.6059000753542385E-2</v>
      </c>
    </row>
    <row r="262" spans="1:7" x14ac:dyDescent="0.2">
      <c r="A262" t="str">
        <f t="shared" si="164"/>
        <v>82 Transport and mobile machine drivers and operatives</v>
      </c>
      <c r="B262" s="11">
        <v>19.768443475801615</v>
      </c>
      <c r="C262" s="11">
        <v>15.943535526067706</v>
      </c>
      <c r="D262" s="11">
        <f t="shared" si="173"/>
        <v>-3.8249079497339089</v>
      </c>
      <c r="E262" s="11">
        <v>7.6775649936323243</v>
      </c>
      <c r="F262" s="11">
        <f t="shared" si="176"/>
        <v>3.8526570438984153</v>
      </c>
      <c r="G262" s="200">
        <f t="shared" si="168"/>
        <v>2.2116614621286557E-2</v>
      </c>
    </row>
    <row r="263" spans="1:7" x14ac:dyDescent="0.2">
      <c r="A263" t="str">
        <f t="shared" si="164"/>
        <v>91 Elementary trades and related occupations</v>
      </c>
      <c r="B263" s="11">
        <v>11.877575250830571</v>
      </c>
      <c r="C263" s="11">
        <v>7.4418694428892529</v>
      </c>
      <c r="D263" s="11">
        <f t="shared" si="173"/>
        <v>-4.4357058079413179</v>
      </c>
      <c r="E263" s="11">
        <v>3.0677069826105408</v>
      </c>
      <c r="F263" s="11">
        <f t="shared" ref="F263" si="177">SUM(D263:E263)</f>
        <v>-1.3679988253307771</v>
      </c>
      <c r="G263" s="200">
        <f t="shared" si="168"/>
        <v>1.5434127338936676E-2</v>
      </c>
    </row>
    <row r="264" spans="1:7" x14ac:dyDescent="0.2">
      <c r="A264" t="str">
        <f t="shared" si="164"/>
        <v>92 Elementary administration and service occupations</v>
      </c>
      <c r="B264" s="11">
        <v>66.539274878523642</v>
      </c>
      <c r="C264" s="11">
        <v>49.489198287786223</v>
      </c>
      <c r="D264" s="11">
        <f t="shared" ref="D264" si="178">C264-B264</f>
        <v>-17.050076590737419</v>
      </c>
      <c r="E264" s="11">
        <v>22.000777808229699</v>
      </c>
      <c r="F264" s="11">
        <f t="shared" ref="F264" si="179">SUM(D264:E264)</f>
        <v>4.9507012174922806</v>
      </c>
      <c r="G264" s="200">
        <f t="shared" ref="G264" si="180">IF(B264&gt;0,(1+(E264/B264))^(1/($C$6-$B$6))-1,0)</f>
        <v>1.9226673616534962E-2</v>
      </c>
    </row>
    <row r="265" spans="1:7" x14ac:dyDescent="0.2">
      <c r="A265" t="str">
        <f t="shared" si="164"/>
        <v>All occupations</v>
      </c>
      <c r="B265" s="11">
        <f>SUM(B239:B264)</f>
        <v>366.97985469794827</v>
      </c>
      <c r="C265" s="11">
        <f t="shared" ref="C265:F265" si="181">SUM(C239:C264)</f>
        <v>240.34462131676833</v>
      </c>
      <c r="D265" s="11">
        <f t="shared" si="181"/>
        <v>-126.63523338117989</v>
      </c>
      <c r="E265" s="11">
        <f t="shared" si="181"/>
        <v>109.6660893956258</v>
      </c>
      <c r="F265" s="11">
        <f t="shared" si="181"/>
        <v>-16.969143985554108</v>
      </c>
      <c r="G265" s="200">
        <f t="shared" si="168"/>
        <v>1.7583942462374935E-2</v>
      </c>
    </row>
    <row r="267" spans="1:7" ht="38.25" x14ac:dyDescent="0.2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4.0662926555322336</v>
      </c>
      <c r="C268" s="11">
        <v>2.5785942992680031</v>
      </c>
      <c r="D268" s="11">
        <f>C268-B268</f>
        <v>-1.4876983562642305</v>
      </c>
      <c r="E268" s="11">
        <v>1.0783598313491856</v>
      </c>
      <c r="F268" s="11">
        <f>SUM(D268:E268)</f>
        <v>-0.40933852491504497</v>
      </c>
      <c r="G268" s="200">
        <f>IF(B268&gt;0,(1+(E268/B268))^(1/($C$6-$B$6))-1,0)</f>
        <v>1.5805346067020221E-2</v>
      </c>
    </row>
    <row r="269" spans="1:7" x14ac:dyDescent="0.2">
      <c r="A269" t="str">
        <f t="shared" si="183"/>
        <v>12 Other managers and proprietors</v>
      </c>
      <c r="B269" s="11">
        <v>3.6363829657987421</v>
      </c>
      <c r="C269" s="11">
        <v>3.6998426227375978</v>
      </c>
      <c r="D269" s="11">
        <f t="shared" ref="D269:D284" si="184">C269-B269</f>
        <v>6.3459656938855691E-2</v>
      </c>
      <c r="E269" s="11">
        <v>1.3700915320082738</v>
      </c>
      <c r="F269" s="11">
        <f t="shared" ref="F269:F276" si="185">SUM(D269:E269)</f>
        <v>1.4335511889471295</v>
      </c>
      <c r="G269" s="200">
        <f t="shared" ref="G269:G271" si="186">IF(B269&gt;0,(1+(E269/B269))^(1/($C$6-$B$6))-1,0)</f>
        <v>2.1544977519871722E-2</v>
      </c>
    </row>
    <row r="270" spans="1:7" x14ac:dyDescent="0.2">
      <c r="A270" t="str">
        <f t="shared" si="183"/>
        <v>21 Science, research, engineering and technology professionals</v>
      </c>
      <c r="B270" s="11">
        <v>2.1311432952021514</v>
      </c>
      <c r="C270" s="11">
        <v>1.8279332845145135</v>
      </c>
      <c r="D270" s="11">
        <f t="shared" si="184"/>
        <v>-0.30321001068763787</v>
      </c>
      <c r="E270" s="11">
        <v>0.57136054218142851</v>
      </c>
      <c r="F270" s="11">
        <f t="shared" si="185"/>
        <v>0.26815053149379064</v>
      </c>
      <c r="G270" s="200">
        <f t="shared" si="186"/>
        <v>1.5960705882597237E-2</v>
      </c>
    </row>
    <row r="271" spans="1:7" x14ac:dyDescent="0.2">
      <c r="A271" t="str">
        <f t="shared" si="183"/>
        <v>22 Health professionals</v>
      </c>
      <c r="B271" s="11">
        <v>0.70385644957222704</v>
      </c>
      <c r="C271" s="11">
        <v>1.3638010414470407</v>
      </c>
      <c r="D271" s="11">
        <f t="shared" si="184"/>
        <v>0.65994459187481369</v>
      </c>
      <c r="E271" s="11">
        <v>0.53004217890438476</v>
      </c>
      <c r="F271" s="11">
        <f t="shared" si="185"/>
        <v>1.1899867707791985</v>
      </c>
      <c r="G271" s="200">
        <f t="shared" si="186"/>
        <v>3.8133069936102215E-2</v>
      </c>
    </row>
    <row r="272" spans="1:7" x14ac:dyDescent="0.2">
      <c r="A272" t="str">
        <f t="shared" si="183"/>
        <v>23 Teaching and other educational professionals</v>
      </c>
      <c r="B272" s="11">
        <v>0.72751284898976487</v>
      </c>
      <c r="C272" s="11">
        <v>0.59874711736754183</v>
      </c>
      <c r="D272" s="11">
        <f t="shared" si="184"/>
        <v>-0.12876573162222305</v>
      </c>
      <c r="E272" s="11">
        <v>0.29509622932485258</v>
      </c>
      <c r="F272" s="11">
        <f t="shared" si="185"/>
        <v>0.16633049770262953</v>
      </c>
      <c r="G272" s="200">
        <f>IF(B272&gt;0,(1+(E272/B272))^(1/($C$6-$B$6))-1,0)</f>
        <v>2.2958303029611438E-2</v>
      </c>
    </row>
    <row r="273" spans="1:7" x14ac:dyDescent="0.2">
      <c r="A273" t="str">
        <f t="shared" si="183"/>
        <v>24 Business, media and public service professionals</v>
      </c>
      <c r="B273" s="11">
        <v>2.1719465721492202</v>
      </c>
      <c r="C273" s="11">
        <v>1.7671139367311846</v>
      </c>
      <c r="D273" s="11">
        <f t="shared" si="184"/>
        <v>-0.4048326354180356</v>
      </c>
      <c r="E273" s="11">
        <v>0.71324680377218297</v>
      </c>
      <c r="F273" s="11">
        <f t="shared" si="185"/>
        <v>0.30841416835414737</v>
      </c>
      <c r="G273" s="200">
        <f t="shared" ref="G273" si="187">IF(B273&gt;0,(1+(E273/B273))^(1/($C$6-$B$6))-1,0)</f>
        <v>1.9111539651505138E-2</v>
      </c>
    </row>
    <row r="274" spans="1:7" x14ac:dyDescent="0.2">
      <c r="A274" t="str">
        <f t="shared" si="183"/>
        <v>31 Science, engineering and technology associate professionals</v>
      </c>
      <c r="B274" s="11">
        <v>1.1813592117330669</v>
      </c>
      <c r="C274" s="11">
        <v>1.3872341422974657</v>
      </c>
      <c r="D274" s="11">
        <f t="shared" si="184"/>
        <v>0.20587493056439876</v>
      </c>
      <c r="E274" s="11">
        <v>0.48251903939890572</v>
      </c>
      <c r="F274" s="11">
        <f t="shared" si="185"/>
        <v>0.68839396996330449</v>
      </c>
      <c r="G274" s="200">
        <f>IF(B274&gt;0,(1+(E274/B274))^(1/($C$6-$B$6))-1,0)</f>
        <v>2.3095021939299354E-2</v>
      </c>
    </row>
    <row r="275" spans="1:7" x14ac:dyDescent="0.2">
      <c r="A275" t="str">
        <f t="shared" si="183"/>
        <v>32 Health and social care associate professionals</v>
      </c>
      <c r="B275" s="11">
        <v>0.36587439527527432</v>
      </c>
      <c r="C275" s="11">
        <v>0.48562987528121676</v>
      </c>
      <c r="D275" s="11">
        <f t="shared" si="184"/>
        <v>0.11975548000594244</v>
      </c>
      <c r="E275" s="11">
        <v>0.18789527044891022</v>
      </c>
      <c r="F275" s="11">
        <f t="shared" si="185"/>
        <v>0.30765075045485268</v>
      </c>
      <c r="G275" s="200">
        <f t="shared" ref="G275:G292" si="188">IF(B275&gt;0,(1+(E275/B275))^(1/($C$6-$B$6))-1,0)</f>
        <v>2.8015847548406692E-2</v>
      </c>
    </row>
    <row r="276" spans="1:7" x14ac:dyDescent="0.2">
      <c r="A276" t="str">
        <f t="shared" si="183"/>
        <v>33 Protective service occupations</v>
      </c>
      <c r="B276" s="11">
        <v>0.32760152806551623</v>
      </c>
      <c r="C276" s="11">
        <v>0.26522043211359991</v>
      </c>
      <c r="D276" s="11">
        <f t="shared" si="184"/>
        <v>-6.2381095951916321E-2</v>
      </c>
      <c r="E276" s="11">
        <v>5.7813165817243078E-2</v>
      </c>
      <c r="F276" s="11">
        <f t="shared" si="185"/>
        <v>-4.5679301346732426E-3</v>
      </c>
      <c r="G276" s="200">
        <f t="shared" si="188"/>
        <v>1.0893699923032463E-2</v>
      </c>
    </row>
    <row r="277" spans="1:7" x14ac:dyDescent="0.2">
      <c r="A277" t="str">
        <f t="shared" si="183"/>
        <v>34 Culture, media and sports occupations</v>
      </c>
      <c r="B277" s="11">
        <v>1.0214504620146041</v>
      </c>
      <c r="C277" s="11">
        <v>0.74301559233725878</v>
      </c>
      <c r="D277" s="11">
        <f t="shared" si="184"/>
        <v>-0.27843486967734532</v>
      </c>
      <c r="E277" s="11">
        <v>0.29787569931444946</v>
      </c>
      <c r="F277" s="11">
        <f t="shared" ref="F277:F278" si="189">SUM(D277:E277)</f>
        <v>1.944082963710414E-2</v>
      </c>
      <c r="G277" s="200">
        <f t="shared" si="188"/>
        <v>1.7206182232446965E-2</v>
      </c>
    </row>
    <row r="278" spans="1:7" x14ac:dyDescent="0.2">
      <c r="A278" t="str">
        <f t="shared" si="183"/>
        <v>35 Business and public service associate professionals</v>
      </c>
      <c r="B278" s="11">
        <v>2.8796165317419327</v>
      </c>
      <c r="C278" s="11">
        <v>1.5813317023766236</v>
      </c>
      <c r="D278" s="11">
        <f t="shared" si="184"/>
        <v>-1.2982848293653091</v>
      </c>
      <c r="E278" s="11">
        <v>0.6616170665038591</v>
      </c>
      <c r="F278" s="11">
        <f t="shared" si="189"/>
        <v>-0.63666776286144999</v>
      </c>
      <c r="G278" s="200">
        <f t="shared" si="188"/>
        <v>1.3883357934356466E-2</v>
      </c>
    </row>
    <row r="279" spans="1:7" x14ac:dyDescent="0.2">
      <c r="A279" t="str">
        <f t="shared" si="183"/>
        <v>41 Administrative occupations</v>
      </c>
      <c r="B279" s="11">
        <v>4.8527312036754902</v>
      </c>
      <c r="C279" s="11">
        <v>1.443561817847141</v>
      </c>
      <c r="D279" s="11">
        <f t="shared" si="184"/>
        <v>-3.4091693858283492</v>
      </c>
      <c r="E279" s="11">
        <v>0.86347027489923822</v>
      </c>
      <c r="F279" s="11">
        <f t="shared" ref="F279:F282" si="190">SUM(D279:E279)</f>
        <v>-2.5456991109291112</v>
      </c>
      <c r="G279" s="200">
        <f t="shared" si="188"/>
        <v>1.0977335374358521E-2</v>
      </c>
    </row>
    <row r="280" spans="1:7" x14ac:dyDescent="0.2">
      <c r="A280" t="str">
        <f t="shared" si="183"/>
        <v>42 Secretarial and related occupations</v>
      </c>
      <c r="B280" s="11">
        <v>1.9760183124115434</v>
      </c>
      <c r="C280" s="11">
        <v>0.67374220580195976</v>
      </c>
      <c r="D280" s="11">
        <f t="shared" si="184"/>
        <v>-1.3022761066095836</v>
      </c>
      <c r="E280" s="11">
        <v>0.62189072018479152</v>
      </c>
      <c r="F280" s="11">
        <f t="shared" si="190"/>
        <v>-0.68038538642479207</v>
      </c>
      <c r="G280" s="200">
        <f t="shared" si="188"/>
        <v>1.8408928869622532E-2</v>
      </c>
    </row>
    <row r="281" spans="1:7" x14ac:dyDescent="0.2">
      <c r="A281" t="str">
        <f t="shared" si="183"/>
        <v>51 Skilled agricultural and related trades</v>
      </c>
      <c r="B281" s="11">
        <v>6.0557778924557137</v>
      </c>
      <c r="C281" s="11">
        <v>1.8597746481736503</v>
      </c>
      <c r="D281" s="11">
        <f t="shared" si="184"/>
        <v>-4.1960032442820632</v>
      </c>
      <c r="E281" s="11">
        <v>1.3874039234868203</v>
      </c>
      <c r="F281" s="11">
        <f t="shared" si="190"/>
        <v>-2.8085993207952429</v>
      </c>
      <c r="G281" s="200">
        <f t="shared" si="188"/>
        <v>1.3847370923198987E-2</v>
      </c>
    </row>
    <row r="282" spans="1:7" x14ac:dyDescent="0.2">
      <c r="A282" t="str">
        <f t="shared" si="183"/>
        <v>52 Skilled metal, electrical and electronic trades</v>
      </c>
      <c r="B282" s="11">
        <v>4.2692551503128788</v>
      </c>
      <c r="C282" s="11">
        <v>1.4267907215522959</v>
      </c>
      <c r="D282" s="11">
        <f t="shared" si="184"/>
        <v>-2.8424644287605831</v>
      </c>
      <c r="E282" s="11">
        <v>0.8417566530210151</v>
      </c>
      <c r="F282" s="11">
        <f t="shared" si="190"/>
        <v>-2.0007077757395679</v>
      </c>
      <c r="G282" s="200">
        <f t="shared" si="188"/>
        <v>1.2069456081255758E-2</v>
      </c>
    </row>
    <row r="283" spans="1:7" x14ac:dyDescent="0.2">
      <c r="A283" t="str">
        <f t="shared" si="183"/>
        <v>53 Skilled construction and building trades</v>
      </c>
      <c r="B283" s="11">
        <v>6.868761178237289</v>
      </c>
      <c r="C283" s="11">
        <v>1.4869700512122352</v>
      </c>
      <c r="D283" s="11">
        <f t="shared" si="184"/>
        <v>-5.3817911270250534</v>
      </c>
      <c r="E283" s="11">
        <v>1.1114609207313975</v>
      </c>
      <c r="F283" s="11">
        <f t="shared" ref="F283" si="191">SUM(D283:E283)</f>
        <v>-4.2703302062936555</v>
      </c>
      <c r="G283" s="200">
        <f t="shared" si="188"/>
        <v>1.0048987107353469E-2</v>
      </c>
    </row>
    <row r="284" spans="1:7" x14ac:dyDescent="0.2">
      <c r="A284" t="str">
        <f t="shared" si="183"/>
        <v>54 Textiles, printing and other skilled trades</v>
      </c>
      <c r="B284" s="11">
        <v>3.9791405161407041</v>
      </c>
      <c r="C284" s="11">
        <v>1.2393597777794572</v>
      </c>
      <c r="D284" s="11">
        <f t="shared" si="184"/>
        <v>-2.7397807383612469</v>
      </c>
      <c r="E284" s="11">
        <v>0.68642231289252198</v>
      </c>
      <c r="F284" s="11">
        <f t="shared" ref="F284" si="192">SUM(D284:E284)</f>
        <v>-2.0533584254687249</v>
      </c>
      <c r="G284" s="200">
        <f t="shared" si="188"/>
        <v>1.0665989142558452E-2</v>
      </c>
    </row>
    <row r="285" spans="1:7" x14ac:dyDescent="0.2">
      <c r="A285" t="str">
        <f t="shared" si="183"/>
        <v>61 Caring personal service occupations</v>
      </c>
      <c r="B285" s="11">
        <v>1.6303003104613485</v>
      </c>
      <c r="C285" s="11">
        <v>1.9532493222187948</v>
      </c>
      <c r="D285" s="11">
        <f>C285-B285</f>
        <v>0.32294901175744628</v>
      </c>
      <c r="E285" s="11">
        <v>0.60594793391668778</v>
      </c>
      <c r="F285" s="11">
        <f>SUM(D285:E285)</f>
        <v>0.92889694567413406</v>
      </c>
      <c r="G285" s="200">
        <f t="shared" si="188"/>
        <v>2.1292541088113293E-2</v>
      </c>
    </row>
    <row r="286" spans="1:7" x14ac:dyDescent="0.2">
      <c r="A286" t="str">
        <f t="shared" si="183"/>
        <v>62 Leisure, travel and related personal service occupations</v>
      </c>
      <c r="B286" s="11">
        <v>2.638060696877635</v>
      </c>
      <c r="C286" s="11">
        <v>1.3858833210205936</v>
      </c>
      <c r="D286" s="11">
        <f t="shared" ref="D286:D292" si="193">C286-B286</f>
        <v>-1.2521773758570414</v>
      </c>
      <c r="E286" s="11">
        <v>0.64497746404718947</v>
      </c>
      <c r="F286" s="11">
        <f t="shared" ref="F286:F287" si="194">SUM(D286:E286)</f>
        <v>-0.60719991180985189</v>
      </c>
      <c r="G286" s="200">
        <f t="shared" si="188"/>
        <v>1.4688511293569073E-2</v>
      </c>
    </row>
    <row r="287" spans="1:7" x14ac:dyDescent="0.2">
      <c r="A287" t="str">
        <f t="shared" si="183"/>
        <v>63 Community and civil enforcement occupations</v>
      </c>
      <c r="B287" s="11">
        <v>0.16503494613474909</v>
      </c>
      <c r="C287" s="11">
        <v>5.8463356594444377E-2</v>
      </c>
      <c r="D287" s="11">
        <f t="shared" si="193"/>
        <v>-0.10657158954030471</v>
      </c>
      <c r="E287" s="11">
        <v>2.1051590848524683E-2</v>
      </c>
      <c r="F287" s="11">
        <f t="shared" si="194"/>
        <v>-8.5519998691780036E-2</v>
      </c>
      <c r="G287" s="200">
        <f t="shared" si="188"/>
        <v>8.0357528582617466E-3</v>
      </c>
    </row>
    <row r="288" spans="1:7" x14ac:dyDescent="0.2">
      <c r="A288" t="str">
        <f t="shared" si="183"/>
        <v>71 Sales occupations</v>
      </c>
      <c r="B288" s="11">
        <v>10.774424360070633</v>
      </c>
      <c r="C288" s="11">
        <v>4.3328651296539373</v>
      </c>
      <c r="D288" s="11">
        <f t="shared" si="193"/>
        <v>-6.4415592304166953</v>
      </c>
      <c r="E288" s="11">
        <v>1.8397963356212297</v>
      </c>
      <c r="F288" s="11">
        <f t="shared" ref="F288:F289" si="195">SUM(D288:E288)</f>
        <v>-4.6017628947954652</v>
      </c>
      <c r="G288" s="200">
        <f t="shared" si="188"/>
        <v>1.0565396647326697E-2</v>
      </c>
    </row>
    <row r="289" spans="1:7" x14ac:dyDescent="0.2">
      <c r="A289" t="str">
        <f t="shared" si="183"/>
        <v>72 Customer service occupations</v>
      </c>
      <c r="B289" s="11">
        <v>1.5637841563036559</v>
      </c>
      <c r="C289" s="11">
        <v>2.3481721796675812</v>
      </c>
      <c r="D289" s="11">
        <f t="shared" si="193"/>
        <v>0.78438802336392532</v>
      </c>
      <c r="E289" s="11">
        <v>0.74505964010435299</v>
      </c>
      <c r="F289" s="11">
        <f t="shared" si="195"/>
        <v>1.5294476634682783</v>
      </c>
      <c r="G289" s="200">
        <f t="shared" si="188"/>
        <v>2.6316197059761626E-2</v>
      </c>
    </row>
    <row r="290" spans="1:7" x14ac:dyDescent="0.2">
      <c r="A290" t="str">
        <f t="shared" si="183"/>
        <v>81 Process, plant and machine operatives</v>
      </c>
      <c r="B290" s="11">
        <v>5.4155961803253421</v>
      </c>
      <c r="C290" s="11">
        <v>1.7458038345670328</v>
      </c>
      <c r="D290" s="11">
        <f t="shared" si="193"/>
        <v>-3.6697923457583093</v>
      </c>
      <c r="E290" s="11">
        <v>0.76082909144517641</v>
      </c>
      <c r="F290" s="11">
        <f t="shared" ref="F290:F291" si="196">SUM(D290:E290)</f>
        <v>-2.9089632543131327</v>
      </c>
      <c r="G290" s="200">
        <f t="shared" si="188"/>
        <v>8.8022941325367476E-3</v>
      </c>
    </row>
    <row r="291" spans="1:7" x14ac:dyDescent="0.2">
      <c r="A291" t="str">
        <f t="shared" si="183"/>
        <v>82 Transport and mobile machine drivers and operatives</v>
      </c>
      <c r="B291" s="11">
        <v>9.1449158708958826</v>
      </c>
      <c r="C291" s="11">
        <v>4.4351257106263029</v>
      </c>
      <c r="D291" s="11">
        <f t="shared" si="193"/>
        <v>-4.7097901602695798</v>
      </c>
      <c r="E291" s="11">
        <v>2.697711719031489</v>
      </c>
      <c r="F291" s="11">
        <f t="shared" si="196"/>
        <v>-2.0120784412380908</v>
      </c>
      <c r="G291" s="200">
        <f t="shared" si="188"/>
        <v>1.738318904353342E-2</v>
      </c>
    </row>
    <row r="292" spans="1:7" x14ac:dyDescent="0.2">
      <c r="A292" t="str">
        <f t="shared" si="183"/>
        <v>91 Elementary trades and related occupations</v>
      </c>
      <c r="B292" s="11">
        <v>5.8462927561012847</v>
      </c>
      <c r="C292" s="11">
        <v>4.6367267404814223</v>
      </c>
      <c r="D292" s="11">
        <f t="shared" si="193"/>
        <v>-1.2095660156198624</v>
      </c>
      <c r="E292" s="11">
        <v>1.4815983995675874</v>
      </c>
      <c r="F292" s="11">
        <f t="shared" ref="F292" si="197">SUM(D292:E292)</f>
        <v>0.272032383947725</v>
      </c>
      <c r="G292" s="200">
        <f t="shared" si="188"/>
        <v>1.5172621733110292E-2</v>
      </c>
    </row>
    <row r="293" spans="1:7" x14ac:dyDescent="0.2">
      <c r="A293" t="str">
        <f t="shared" si="183"/>
        <v>92 Elementary administration and service occupations</v>
      </c>
      <c r="B293" s="11">
        <v>18.615703007130563</v>
      </c>
      <c r="C293" s="11">
        <v>12.700050717984348</v>
      </c>
      <c r="D293" s="11">
        <f t="shared" ref="D293" si="198">C293-B293</f>
        <v>-5.9156522891462142</v>
      </c>
      <c r="E293" s="11">
        <v>4.106196748331242</v>
      </c>
      <c r="F293" s="11">
        <f t="shared" ref="F293" si="199">SUM(D293:E293)</f>
        <v>-1.8094555408149722</v>
      </c>
      <c r="G293" s="200">
        <f>IF(B293&gt;0,(1+(E293/B293))^(1/($C$6-$B$6))-1,0)</f>
        <v>1.3376930091471673E-2</v>
      </c>
    </row>
    <row r="294" spans="1:7" x14ac:dyDescent="0.2">
      <c r="A294" s="23" t="str">
        <f t="shared" si="183"/>
        <v>All occupations</v>
      </c>
      <c r="B294" s="33">
        <f>SUM(B268:B293)</f>
        <v>103.00883345360945</v>
      </c>
      <c r="C294" s="33">
        <f>SUM(C268:C293)</f>
        <v>58.025003581653245</v>
      </c>
      <c r="D294" s="33">
        <f>SUM(D268:D293)</f>
        <v>-44.983829871956203</v>
      </c>
      <c r="E294" s="33">
        <f>SUM(E268:E293)</f>
        <v>24.661491087152939</v>
      </c>
      <c r="F294" s="33">
        <f>SUM(F268:F293)</f>
        <v>-20.322338784803261</v>
      </c>
      <c r="G294" s="234">
        <f>IF(B294&gt;0,(1+(E294/B294))^(1/($C$6-$B$6))-1,0)</f>
        <v>1.441197236483327E-2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0"/>
    <col min="15" max="15" width="44.140625" customWidth="1"/>
    <col min="16" max="17" width="16.85546875" customWidth="1"/>
  </cols>
  <sheetData>
    <row r="1" spans="1:17" ht="15.75" x14ac:dyDescent="0.25">
      <c r="A1" s="79" t="str">
        <f>CONCATENATE("Replacement Demand Figure 1  Replacement Demand by Occupation Group (SOC 2020), ",P4,", ",Info!B5)</f>
        <v>Replacement Demand Figure 1  Replacement Demand by Occupation Group (SOC 2020), 2020-2035, South West</v>
      </c>
    </row>
    <row r="2" spans="1:17" x14ac:dyDescent="0.2">
      <c r="A2" s="362" t="s">
        <v>538</v>
      </c>
    </row>
    <row r="3" spans="1:17" x14ac:dyDescent="0.2">
      <c r="O3" s="45" t="s">
        <v>426</v>
      </c>
    </row>
    <row r="4" spans="1:17" x14ac:dyDescent="0.2">
      <c r="P4" s="15" t="str">
        <f>'Occ T1'!H4</f>
        <v>2020-2035</v>
      </c>
    </row>
    <row r="5" spans="1:17" x14ac:dyDescent="0.2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3.5605196459717376</v>
      </c>
      <c r="Q7" s="11">
        <f>'Occ T1'!J16</f>
        <v>146.00879215818625</v>
      </c>
    </row>
    <row r="8" spans="1:17" x14ac:dyDescent="0.2">
      <c r="O8" t="str">
        <f>name!E11</f>
        <v>Process, plant and machine operatives</v>
      </c>
      <c r="P8" s="11">
        <f>'Occ T1'!H15</f>
        <v>20.770013053065725</v>
      </c>
      <c r="Q8" s="11">
        <f>'Occ T1'!J15</f>
        <v>96.117349622141063</v>
      </c>
    </row>
    <row r="9" spans="1:17" x14ac:dyDescent="0.2">
      <c r="O9" t="str">
        <f>name!E10</f>
        <v>Sales and customer service occupations</v>
      </c>
      <c r="P9" s="11">
        <f>'Occ T1'!H14</f>
        <v>1.0179958585162012</v>
      </c>
      <c r="Q9" s="11">
        <f>'Occ T1'!J14</f>
        <v>119.28257811337519</v>
      </c>
    </row>
    <row r="10" spans="1:17" x14ac:dyDescent="0.2">
      <c r="O10" t="str">
        <f>name!E9</f>
        <v>Caring, leisure and other service occupations</v>
      </c>
      <c r="P10" s="11">
        <f>'Occ T1'!H13</f>
        <v>58.982322453227198</v>
      </c>
      <c r="Q10" s="11">
        <f>'Occ T1'!J13</f>
        <v>230.62430550449847</v>
      </c>
    </row>
    <row r="11" spans="1:17" x14ac:dyDescent="0.2">
      <c r="O11" t="str">
        <f>name!E8</f>
        <v>Skilled trades occupations</v>
      </c>
      <c r="P11" s="11">
        <f>'Occ T1'!H12</f>
        <v>8.4776601840322314</v>
      </c>
      <c r="Q11" s="11">
        <f>'Occ T1'!J12</f>
        <v>140.40404579438888</v>
      </c>
    </row>
    <row r="12" spans="1:17" x14ac:dyDescent="0.2">
      <c r="O12" t="str">
        <f>name!E7</f>
        <v>Administrative and secretarial occupations</v>
      </c>
      <c r="P12" s="11">
        <f>'Occ T1'!H11</f>
        <v>-32.711067389717186</v>
      </c>
      <c r="Q12" s="11">
        <f>'Occ T1'!J11</f>
        <v>107.12957552827748</v>
      </c>
    </row>
    <row r="13" spans="1:17" x14ac:dyDescent="0.2">
      <c r="O13" t="str">
        <f>name!E6</f>
        <v>Associate professional occupations</v>
      </c>
      <c r="P13" s="11">
        <f>'Occ T1'!H10</f>
        <v>35.859952788943644</v>
      </c>
      <c r="Q13" s="11">
        <f>'Occ T1'!J10</f>
        <v>216.41427212363789</v>
      </c>
    </row>
    <row r="14" spans="1:17" x14ac:dyDescent="0.2">
      <c r="O14" t="str">
        <f>name!E5</f>
        <v>Professional occupations</v>
      </c>
      <c r="P14" s="11">
        <f>'Occ T1'!H9</f>
        <v>157.0711323677383</v>
      </c>
      <c r="Q14" s="11">
        <f>'Occ T1'!J9</f>
        <v>502.2088511298324</v>
      </c>
    </row>
    <row r="15" spans="1:17" x14ac:dyDescent="0.2">
      <c r="O15" t="str">
        <f>name!E4</f>
        <v>Managers, directors and senior officials</v>
      </c>
      <c r="P15" s="11">
        <f>'Occ T1'!H8</f>
        <v>57.477471039049817</v>
      </c>
      <c r="Q15" s="11">
        <f>'Occ T1'!J8</f>
        <v>251.04649388766873</v>
      </c>
    </row>
    <row r="34" spans="1:17" ht="15.75" x14ac:dyDescent="0.25">
      <c r="A34" s="79" t="str">
        <f>CONCATENATE("Replacement Demand Figure 1.1  Replacement Demand by Occupation (SOC 2020), ",P35,", ",Info!B5)</f>
        <v>Replacement Demand Figure 1.1  Replacement Demand by Occupation (SOC 2020), 2020-2035, South West</v>
      </c>
      <c r="O34" s="45" t="s">
        <v>426</v>
      </c>
    </row>
    <row r="35" spans="1:17" x14ac:dyDescent="0.2">
      <c r="P35" s="15" t="str">
        <f>'Occ T1'!H4</f>
        <v>2020-2035</v>
      </c>
    </row>
    <row r="36" spans="1:17" x14ac:dyDescent="0.2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8.1777474326033825</v>
      </c>
      <c r="Q37" s="11">
        <f>'Occ T2'!J8</f>
        <v>117.66579995717939</v>
      </c>
    </row>
    <row r="38" spans="1:17" x14ac:dyDescent="0.2">
      <c r="O38" s="10" t="str">
        <f>name!D5</f>
        <v>12 Other managers and proprietors</v>
      </c>
      <c r="P38" s="11">
        <f>'Occ T2'!H9</f>
        <v>49.299723606446463</v>
      </c>
      <c r="Q38" s="11">
        <f>'Occ T2'!J9</f>
        <v>133.38069393048937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34.752245461453043</v>
      </c>
      <c r="Q39" s="11">
        <f>'Occ T2'!J10</f>
        <v>106.19123246693601</v>
      </c>
    </row>
    <row r="40" spans="1:17" x14ac:dyDescent="0.2">
      <c r="O40" s="10" t="str">
        <f>name!D7</f>
        <v>22 Health professionals</v>
      </c>
      <c r="P40" s="11">
        <f>'Occ T2'!H11</f>
        <v>39.895269181712678</v>
      </c>
      <c r="Q40" s="11">
        <f>'Occ T2'!J11</f>
        <v>123.56715053441447</v>
      </c>
    </row>
    <row r="41" spans="1:17" x14ac:dyDescent="0.2">
      <c r="O41" s="10" t="str">
        <f>name!D8</f>
        <v>23 Teaching and other educational professionals</v>
      </c>
      <c r="P41" s="11">
        <f>'Occ T2'!H12</f>
        <v>25.385302399093149</v>
      </c>
      <c r="Q41" s="11">
        <f>'Occ T2'!J12</f>
        <v>107.10602512792849</v>
      </c>
    </row>
    <row r="42" spans="1:17" x14ac:dyDescent="0.2">
      <c r="O42" s="10" t="str">
        <f>name!D9</f>
        <v>24 Business, media and public service professionals</v>
      </c>
      <c r="P42" s="11">
        <f>'Occ T2'!H13</f>
        <v>57.038315325479459</v>
      </c>
      <c r="Q42" s="11">
        <f>'Occ T2'!J13</f>
        <v>165.34444300055344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-2.532009972400509</v>
      </c>
      <c r="Q43" s="11">
        <f>'Occ T2'!J14</f>
        <v>19.093835537404782</v>
      </c>
    </row>
    <row r="44" spans="1:17" x14ac:dyDescent="0.2">
      <c r="O44" s="10" t="str">
        <f>name!D11</f>
        <v>32 Health and social care associate professionals</v>
      </c>
      <c r="P44" s="11">
        <f>'Occ T2'!H15</f>
        <v>11.466800779940939</v>
      </c>
      <c r="Q44" s="11">
        <f>'Occ T2'!J15</f>
        <v>48.019451438711656</v>
      </c>
    </row>
    <row r="45" spans="1:17" x14ac:dyDescent="0.2">
      <c r="O45" s="10" t="str">
        <f>name!D12</f>
        <v>33 Protective service occupations</v>
      </c>
      <c r="P45" s="11">
        <f>'Occ T2'!H16</f>
        <v>8.7640965921797722</v>
      </c>
      <c r="Q45" s="11">
        <f>'Occ T2'!J16</f>
        <v>17.799267942188607</v>
      </c>
    </row>
    <row r="46" spans="1:17" x14ac:dyDescent="0.2">
      <c r="O46" s="10" t="str">
        <f>name!D13</f>
        <v>34 Culture, media and sports occupations</v>
      </c>
      <c r="P46" s="11">
        <f>'Occ T2'!H17</f>
        <v>13.673599587657044</v>
      </c>
      <c r="Q46" s="11">
        <f>'Occ T2'!J17</f>
        <v>46.554709735800543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4.4874658015663442</v>
      </c>
      <c r="Q47" s="11">
        <f>'Occ T2'!J18</f>
        <v>84.947007469532267</v>
      </c>
    </row>
    <row r="48" spans="1:17" x14ac:dyDescent="0.2">
      <c r="O48" s="10" t="str">
        <f>name!D15</f>
        <v>41 Administrative occupations</v>
      </c>
      <c r="P48" s="11">
        <f>'Occ T2'!H19</f>
        <v>-30.209411663895651</v>
      </c>
      <c r="Q48" s="11">
        <f>'Occ T2'!J19</f>
        <v>80.987541112458246</v>
      </c>
    </row>
    <row r="49" spans="15:17" x14ac:dyDescent="0.2">
      <c r="O49" s="10" t="str">
        <f>name!D16</f>
        <v>42 Secretarial and related occupations</v>
      </c>
      <c r="P49" s="11">
        <f>'Occ T2'!H20</f>
        <v>-2.501655725821557</v>
      </c>
      <c r="Q49" s="11">
        <f>'Occ T2'!J20</f>
        <v>26.142034415819221</v>
      </c>
    </row>
    <row r="50" spans="15:17" x14ac:dyDescent="0.2">
      <c r="O50" s="10" t="str">
        <f>name!D17</f>
        <v>51 Skilled agricultural and related trades</v>
      </c>
      <c r="P50" s="11">
        <f>'Occ T2'!H21</f>
        <v>4.1289655951549591</v>
      </c>
      <c r="Q50" s="11">
        <f>'Occ T2'!J21</f>
        <v>28.086256729866697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-4.0483943006121734</v>
      </c>
      <c r="Q51" s="11">
        <f>'Occ T2'!J22</f>
        <v>35.878667012884044</v>
      </c>
    </row>
    <row r="52" spans="15:17" x14ac:dyDescent="0.2">
      <c r="O52" s="10" t="str">
        <f>name!D19</f>
        <v>53 Skilled construction and building trades</v>
      </c>
      <c r="P52" s="11">
        <f>'Occ T2'!H23</f>
        <v>9.5740816969780269</v>
      </c>
      <c r="Q52" s="11">
        <f>'Occ T2'!J23</f>
        <v>52.977961086840374</v>
      </c>
    </row>
    <row r="53" spans="15:17" x14ac:dyDescent="0.2">
      <c r="O53" s="10" t="str">
        <f>name!D20</f>
        <v>54 Textiles, printing and other skilled trades</v>
      </c>
      <c r="P53" s="11">
        <f>'Occ T2'!H24</f>
        <v>-1.1769928074885811</v>
      </c>
      <c r="Q53" s="11">
        <f>'Occ T2'!J24</f>
        <v>23.461160964797774</v>
      </c>
    </row>
    <row r="54" spans="15:17" x14ac:dyDescent="0.2">
      <c r="O54" s="10" t="str">
        <f>name!D21</f>
        <v>61 Caring personal service occupations</v>
      </c>
      <c r="P54" s="11">
        <f>'Occ T2'!H25</f>
        <v>47.620604476973455</v>
      </c>
      <c r="Q54" s="11">
        <f>'Occ T2'!J25</f>
        <v>183.54590400276635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11.857410173848194</v>
      </c>
      <c r="Q55" s="11">
        <f>'Occ T2'!J26</f>
        <v>46.613664670289772</v>
      </c>
    </row>
    <row r="56" spans="15:17" x14ac:dyDescent="0.2">
      <c r="O56" s="10" t="str">
        <f>name!D23</f>
        <v>63 Community and civil enforcement occupations</v>
      </c>
      <c r="P56" s="11">
        <f>'Occ T2'!H27</f>
        <v>-0.49569219759447813</v>
      </c>
      <c r="Q56" s="11">
        <f>'Occ T2'!J27</f>
        <v>0.46473683144230837</v>
      </c>
    </row>
    <row r="57" spans="15:17" x14ac:dyDescent="0.2">
      <c r="O57" s="10" t="str">
        <f>name!D24</f>
        <v>71 Sales occupations</v>
      </c>
      <c r="P57" s="11">
        <f>'Occ T2'!H28</f>
        <v>-22.215347719185104</v>
      </c>
      <c r="Q57" s="11">
        <f>'Occ T2'!J28</f>
        <v>66.76551535756596</v>
      </c>
    </row>
    <row r="58" spans="15:17" x14ac:dyDescent="0.2">
      <c r="O58" s="10" t="str">
        <f>name!D25</f>
        <v>72 Customer service occupations</v>
      </c>
      <c r="P58" s="11">
        <f>'Occ T2'!H29</f>
        <v>23.233343577701334</v>
      </c>
      <c r="Q58" s="11">
        <f>'Occ T2'!J29</f>
        <v>52.51706275580927</v>
      </c>
    </row>
    <row r="59" spans="15:17" x14ac:dyDescent="0.2">
      <c r="O59" s="10" t="str">
        <f>name!D26</f>
        <v>81 Process, plant and machine operatives</v>
      </c>
      <c r="P59" s="11">
        <f>'Occ T2'!H30</f>
        <v>12.783286317275419</v>
      </c>
      <c r="Q59" s="11">
        <f>'Occ T2'!J30</f>
        <v>41.404152104830828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7.9867267357902989</v>
      </c>
      <c r="Q60" s="11">
        <f>'Occ T2'!J31</f>
        <v>54.713197517310228</v>
      </c>
    </row>
    <row r="61" spans="15:17" x14ac:dyDescent="0.2">
      <c r="O61" s="10" t="str">
        <f>name!D28</f>
        <v>91 Elementary trades and related occupations</v>
      </c>
      <c r="P61" s="11">
        <f>'Occ T2'!H32</f>
        <v>-4.9075552663905242</v>
      </c>
      <c r="Q61" s="11">
        <f>'Occ T2'!J32</f>
        <v>9.4825068064325109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8.4680749123623116</v>
      </c>
      <c r="Q62" s="11">
        <f>'Occ T2'!J33</f>
        <v>136.52628535175378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310.50600000082613</v>
      </c>
      <c r="Q64" s="11">
        <f>'Occ T2'!J35</f>
        <v>1809.2362638620061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" width="7.140625" style="13" bestFit="1" customWidth="1"/>
    <col min="5" max="5" width="5.7109375" style="13" customWidth="1"/>
    <col min="6" max="8" width="4.7109375" style="13" bestFit="1" customWidth="1"/>
    <col min="9" max="9" width="5.7109375" style="13" customWidth="1"/>
    <col min="10" max="12" width="5.7109375" style="13" bestFit="1" customWidth="1"/>
    <col min="13" max="13" width="5.7109375" style="13" customWidth="1"/>
    <col min="14" max="16" width="5.7109375" style="13" bestFit="1" customWidth="1"/>
    <col min="17" max="17" width="5.85546875" style="13" customWidth="1"/>
    <col min="18" max="20" width="5.7109375" style="13" bestFit="1" customWidth="1"/>
    <col min="21" max="21" width="5.7109375" style="13" customWidth="1"/>
    <col min="22" max="24" width="5.7109375" style="13" bestFit="1" customWidth="1"/>
    <col min="25" max="25" width="5.7109375" style="13" customWidth="1"/>
    <col min="26" max="28" width="5.7109375" style="13" bestFit="1" customWidth="1"/>
    <col min="29" max="29" width="5.7109375" style="13" customWidth="1"/>
    <col min="30" max="32" width="5.7109375" style="13" bestFit="1" customWidth="1"/>
    <col min="33" max="33" width="5.7109375" style="13" customWidth="1"/>
    <col min="34" max="36" width="5.7109375" style="13" bestFit="1" customWidth="1"/>
    <col min="37" max="37" width="5.7109375" style="13" customWidth="1"/>
    <col min="38" max="38" width="5.7109375" style="13" bestFit="1" customWidth="1"/>
    <col min="39" max="40" width="4.7109375" style="13" bestFit="1" customWidth="1"/>
    <col min="41" max="16384" width="9.140625" style="13"/>
  </cols>
  <sheetData>
    <row r="1" spans="1:40" ht="15.75" x14ac:dyDescent="0.25">
      <c r="A1" s="18" t="str">
        <f>CONCATENATE("Basic Table 1  Employment by Industry Sector, Occupation Group and Qualification, ",B$5,"-",D$5,", ",Info!B5)</f>
        <v>Basic Table 1  Employment by Industry Sector, Occupation Group and Qualification, 2020-2035, South West</v>
      </c>
    </row>
    <row r="2" spans="1:40" ht="12.75" customHeight="1" x14ac:dyDescent="0.2">
      <c r="A2" s="181" t="s">
        <v>542</v>
      </c>
    </row>
    <row r="3" spans="1:40" ht="12.75" customHeight="1" x14ac:dyDescent="0.25">
      <c r="A3" s="18"/>
      <c r="AN3" s="37" t="s">
        <v>35</v>
      </c>
    </row>
    <row r="4" spans="1:40" ht="24.75" customHeight="1" x14ac:dyDescent="0.2">
      <c r="A4" s="77"/>
      <c r="B4" s="379" t="str">
        <f>name!F3</f>
        <v>All qualifications</v>
      </c>
      <c r="C4" s="379"/>
      <c r="D4" s="379"/>
      <c r="E4" s="77"/>
      <c r="F4" s="380" t="str">
        <f>name!F4</f>
        <v>RQF8 Doctorate</v>
      </c>
      <c r="G4" s="380"/>
      <c r="H4" s="380"/>
      <c r="I4" s="77"/>
      <c r="J4" s="380" t="str">
        <f>name!F5</f>
        <v>RQF7 Other higher degree</v>
      </c>
      <c r="K4" s="380"/>
      <c r="L4" s="380"/>
      <c r="M4" s="77"/>
      <c r="N4" s="380" t="str">
        <f>name!F6</f>
        <v>RQF6 First degree</v>
      </c>
      <c r="O4" s="380"/>
      <c r="P4" s="380"/>
      <c r="Q4" s="77"/>
      <c r="R4" s="380" t="str">
        <f>name!F7</f>
        <v>RQF5 Foundation degree;Nursing;Teaching</v>
      </c>
      <c r="S4" s="380"/>
      <c r="T4" s="380"/>
      <c r="U4" s="77"/>
      <c r="V4" s="380" t="str">
        <f>name!F8</f>
        <v>RQF4 HE below degree level</v>
      </c>
      <c r="W4" s="380"/>
      <c r="X4" s="380"/>
      <c r="Y4" s="77"/>
      <c r="Z4" s="380" t="str">
        <f>name!F9</f>
        <v>RQF3 A level &amp; equivalent</v>
      </c>
      <c r="AA4" s="380"/>
      <c r="AB4" s="380"/>
      <c r="AC4" s="77"/>
      <c r="AD4" s="380" t="str">
        <f>name!F10</f>
        <v>RQF2 GCSE(A-C) &amp; equivalent</v>
      </c>
      <c r="AE4" s="380"/>
      <c r="AF4" s="380"/>
      <c r="AG4" s="77"/>
      <c r="AH4" s="380" t="str">
        <f>name!F11</f>
        <v>RQF1 GCSE(below grade C) &amp; equivalent</v>
      </c>
      <c r="AI4" s="380"/>
      <c r="AJ4" s="380"/>
      <c r="AK4" s="77"/>
      <c r="AL4" s="380" t="str">
        <f>name!F12</f>
        <v>No Qualification</v>
      </c>
      <c r="AM4" s="380"/>
      <c r="AN4" s="380"/>
    </row>
    <row r="5" spans="1:40" x14ac:dyDescent="0.2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2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2">
      <c r="A8" s="13" t="str">
        <f>name!E3</f>
        <v>All occupations</v>
      </c>
      <c r="B8" s="305">
        <f>SUM(B9:B17)</f>
        <v>2929.5869999964657</v>
      </c>
      <c r="C8" s="305">
        <f>SUM(C9:C17)</f>
        <v>3058.6549999943345</v>
      </c>
      <c r="D8" s="305">
        <f>SUM(D9:D17)</f>
        <v>3240.0929999972932</v>
      </c>
      <c r="E8" s="304"/>
      <c r="F8" s="305">
        <f>SUM(F9:F17)</f>
        <v>47.134788614307197</v>
      </c>
      <c r="G8" s="305">
        <f>SUM(G9:G17)</f>
        <v>62.055867743673282</v>
      </c>
      <c r="H8" s="305">
        <f>SUM(H9:H17)</f>
        <v>91.885931833206826</v>
      </c>
      <c r="I8" s="304"/>
      <c r="J8" s="305">
        <f>SUM(J9:J17)</f>
        <v>327.95542549331316</v>
      </c>
      <c r="K8" s="305">
        <f>SUM(K9:K17)</f>
        <v>428.57213033934636</v>
      </c>
      <c r="L8" s="305">
        <f>SUM(L9:L17)</f>
        <v>636.98770723168093</v>
      </c>
      <c r="M8" s="304"/>
      <c r="N8" s="305">
        <f>SUM(N9:N17)</f>
        <v>569.67034480156758</v>
      </c>
      <c r="O8" s="305">
        <f>SUM(O9:O17)</f>
        <v>640.12110870664765</v>
      </c>
      <c r="P8" s="305">
        <f>SUM(P9:P17)</f>
        <v>728.25370570101995</v>
      </c>
      <c r="Q8" s="306"/>
      <c r="R8" s="305">
        <f>SUM(R9:R17)</f>
        <v>159.48966179180383</v>
      </c>
      <c r="S8" s="305">
        <f>SUM(S9:S17)</f>
        <v>167.91953768433751</v>
      </c>
      <c r="T8" s="305">
        <f>SUM(T9:T17)</f>
        <v>186.36959050016765</v>
      </c>
      <c r="U8" s="306"/>
      <c r="V8" s="305">
        <f>SUM(V9:V17)</f>
        <v>159.86246551235257</v>
      </c>
      <c r="W8" s="305">
        <f>SUM(W9:W17)</f>
        <v>176.33950915990238</v>
      </c>
      <c r="X8" s="305">
        <f>SUM(X9:X17)</f>
        <v>200.54900732775161</v>
      </c>
      <c r="Y8" s="306"/>
      <c r="Z8" s="305">
        <f>SUM(Z9:Z17)</f>
        <v>641.2605890049648</v>
      </c>
      <c r="AA8" s="305">
        <f>SUM(AA9:AA17)</f>
        <v>664.25216643697979</v>
      </c>
      <c r="AB8" s="305">
        <f>SUM(AB9:AB17)</f>
        <v>693.86284553455835</v>
      </c>
      <c r="AC8" s="306"/>
      <c r="AD8" s="305">
        <f>SUM(AD9:AD17)</f>
        <v>554.22503662659858</v>
      </c>
      <c r="AE8" s="305">
        <f>SUM(AE9:AE17)</f>
        <v>509.2011890741145</v>
      </c>
      <c r="AF8" s="305">
        <f>SUM(AF9:AF17)</f>
        <v>403.81458697048629</v>
      </c>
      <c r="AG8" s="306"/>
      <c r="AH8" s="305">
        <f>SUM(AH9:AH17)</f>
        <v>366.97985469794833</v>
      </c>
      <c r="AI8" s="305">
        <f>SUM(AI9:AI17)</f>
        <v>333.26478368455048</v>
      </c>
      <c r="AJ8" s="305">
        <f>SUM(AJ9:AJ17)</f>
        <v>240.34462131676827</v>
      </c>
      <c r="AK8" s="306"/>
      <c r="AL8" s="305">
        <f>SUM(AL9:AL17)</f>
        <v>103.00883345360947</v>
      </c>
      <c r="AM8" s="305">
        <f>SUM(AM9:AM17)</f>
        <v>76.928707164782637</v>
      </c>
      <c r="AN8" s="305">
        <f>SUM(AN9:AN17)</f>
        <v>58.025003581653245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336.67165807287375</v>
      </c>
      <c r="C9" s="304">
        <f t="shared" ref="B9:D17" si="0">SUM(C21,C33,C51,C63,C75,C93)</f>
        <v>351.00137125683131</v>
      </c>
      <c r="D9" s="304">
        <f t="shared" si="0"/>
        <v>394.14912911192448</v>
      </c>
      <c r="E9" s="304"/>
      <c r="F9" s="304">
        <f t="shared" ref="F9:H17" si="1">SUM(F21,F33,F51,F63,F75,F93)</f>
        <v>4.9099875356398295</v>
      </c>
      <c r="G9" s="304">
        <f t="shared" si="1"/>
        <v>6.8060898863507129</v>
      </c>
      <c r="H9" s="304">
        <f t="shared" si="1"/>
        <v>10.811481204797756</v>
      </c>
      <c r="I9" s="304"/>
      <c r="J9" s="304">
        <f t="shared" ref="J9:L17" si="2">SUM(J21,J33,J51,J63,J75,J93)</f>
        <v>40.366603491155168</v>
      </c>
      <c r="K9" s="304">
        <f t="shared" si="2"/>
        <v>53.435809533328438</v>
      </c>
      <c r="L9" s="304">
        <f t="shared" si="2"/>
        <v>84.527112525914944</v>
      </c>
      <c r="M9" s="304"/>
      <c r="N9" s="304">
        <f t="shared" ref="N9:P17" si="3">SUM(N21,N33,N51,N63,N75,N93)</f>
        <v>85.604900855177334</v>
      </c>
      <c r="O9" s="304">
        <f t="shared" si="3"/>
        <v>95.16087301519778</v>
      </c>
      <c r="P9" s="304">
        <f t="shared" si="3"/>
        <v>109.99454007997247</v>
      </c>
      <c r="Q9" s="306"/>
      <c r="R9" s="304">
        <f t="shared" ref="R9:T9" si="4">SUM(R21,R33,R51,R63,R75,R93)</f>
        <v>19.349287986519396</v>
      </c>
      <c r="S9" s="304">
        <f t="shared" si="4"/>
        <v>20.645509073478511</v>
      </c>
      <c r="T9" s="304">
        <f t="shared" si="4"/>
        <v>23.641238502188095</v>
      </c>
      <c r="U9" s="306"/>
      <c r="V9" s="304">
        <f t="shared" ref="V9:X9" si="5">SUM(V21,V33,V51,V63,V75,V93)</f>
        <v>24.257348653747762</v>
      </c>
      <c r="W9" s="304">
        <f t="shared" si="5"/>
        <v>25.688214580023207</v>
      </c>
      <c r="X9" s="304">
        <f t="shared" si="5"/>
        <v>27.776449588015357</v>
      </c>
      <c r="Y9" s="306"/>
      <c r="Z9" s="304">
        <f t="shared" ref="Z9:AB9" si="6">SUM(Z21,Z33,Z51,Z63,Z75,Z93)</f>
        <v>64.430092126542704</v>
      </c>
      <c r="AA9" s="304">
        <f t="shared" si="6"/>
        <v>60.560034203103029</v>
      </c>
      <c r="AB9" s="304">
        <f t="shared" si="6"/>
        <v>63.593610463598338</v>
      </c>
      <c r="AC9" s="306"/>
      <c r="AD9" s="304">
        <f>SUM(AD21,AD33,AD51,AD63,AD75,AD93)</f>
        <v>52.272084436890275</v>
      </c>
      <c r="AE9" s="304">
        <f t="shared" ref="AE9:AF9" si="7">SUM(AE21,AE33,AE51,AE63,AE75,AE93)</f>
        <v>46.010958963942358</v>
      </c>
      <c r="AF9" s="304">
        <f t="shared" si="7"/>
        <v>36.017493604067369</v>
      </c>
      <c r="AG9" s="306"/>
      <c r="AH9" s="304">
        <f t="shared" ref="AH9:AJ9" si="8">SUM(AH21,AH33,AH51,AH63,AH75,AH93)</f>
        <v>37.778677365870323</v>
      </c>
      <c r="AI9" s="304">
        <f t="shared" si="8"/>
        <v>35.986717235475531</v>
      </c>
      <c r="AJ9" s="304">
        <f t="shared" si="8"/>
        <v>31.508766221364532</v>
      </c>
      <c r="AK9" s="306"/>
      <c r="AL9" s="304">
        <f t="shared" ref="AL9:AN9" si="9">SUM(AL21,AL33,AL51,AL63,AL75,AL93)</f>
        <v>7.7026756213309779</v>
      </c>
      <c r="AM9" s="304">
        <f t="shared" si="9"/>
        <v>6.7071647659317648</v>
      </c>
      <c r="AN9" s="304">
        <f t="shared" si="9"/>
        <v>6.2784369220056009</v>
      </c>
    </row>
    <row r="10" spans="1:40" x14ac:dyDescent="0.2">
      <c r="A10" s="13" t="str">
        <f>name!E5</f>
        <v>Professional occupations</v>
      </c>
      <c r="B10" s="304">
        <f t="shared" si="0"/>
        <v>653.26421753907243</v>
      </c>
      <c r="C10" s="304">
        <f t="shared" si="0"/>
        <v>715.63579413435514</v>
      </c>
      <c r="D10" s="304">
        <f t="shared" si="0"/>
        <v>810.33534990681142</v>
      </c>
      <c r="E10" s="304"/>
      <c r="F10" s="304">
        <f t="shared" si="1"/>
        <v>34.192277739887196</v>
      </c>
      <c r="G10" s="304">
        <f t="shared" si="1"/>
        <v>44.327006498416345</v>
      </c>
      <c r="H10" s="304">
        <f t="shared" si="1"/>
        <v>63.288996315512463</v>
      </c>
      <c r="I10" s="304"/>
      <c r="J10" s="304">
        <f t="shared" si="2"/>
        <v>181.25136044005527</v>
      </c>
      <c r="K10" s="304">
        <f t="shared" si="2"/>
        <v>230.12012937756327</v>
      </c>
      <c r="L10" s="304">
        <f t="shared" si="2"/>
        <v>320.57593296772421</v>
      </c>
      <c r="M10" s="304"/>
      <c r="N10" s="304">
        <f t="shared" si="3"/>
        <v>210.95078511689383</v>
      </c>
      <c r="O10" s="304">
        <f t="shared" si="3"/>
        <v>225.84113433237798</v>
      </c>
      <c r="P10" s="304">
        <f t="shared" si="3"/>
        <v>228.23535022859653</v>
      </c>
      <c r="Q10" s="306"/>
      <c r="R10" s="304">
        <f t="shared" ref="R10:T10" si="10">SUM(R22,R34,R52,R64,R76,R94)</f>
        <v>31.522114089781631</v>
      </c>
      <c r="S10" s="304">
        <f t="shared" si="10"/>
        <v>24.843667359974447</v>
      </c>
      <c r="T10" s="304">
        <f t="shared" si="10"/>
        <v>19.614455694787193</v>
      </c>
      <c r="U10" s="306"/>
      <c r="V10" s="304">
        <f t="shared" ref="V10:X10" si="11">SUM(V22,V34,V52,V64,V76,V94)</f>
        <v>31.252466864747873</v>
      </c>
      <c r="W10" s="304">
        <f t="shared" si="11"/>
        <v>31.998647022554831</v>
      </c>
      <c r="X10" s="304">
        <f t="shared" si="11"/>
        <v>32.29350466749873</v>
      </c>
      <c r="Y10" s="306"/>
      <c r="Z10" s="304">
        <f t="shared" ref="Z10:AB10" si="12">SUM(Z22,Z34,Z52,Z64,Z76,Z94)</f>
        <v>76.929187879521095</v>
      </c>
      <c r="AA10" s="304">
        <f t="shared" si="12"/>
        <v>78.832219115484293</v>
      </c>
      <c r="AB10" s="304">
        <f t="shared" si="12"/>
        <v>83.351622071091924</v>
      </c>
      <c r="AC10" s="306"/>
      <c r="AD10" s="304">
        <f t="shared" ref="AD10:AF10" si="13">SUM(AD22,AD34,AD52,AD64,AD76,AD94)</f>
        <v>49.899230124848714</v>
      </c>
      <c r="AE10" s="304">
        <f t="shared" si="13"/>
        <v>44.543467075395291</v>
      </c>
      <c r="AF10" s="304">
        <f t="shared" si="13"/>
        <v>34.728866541696362</v>
      </c>
      <c r="AG10" s="306"/>
      <c r="AH10" s="304">
        <f t="shared" ref="AH10:AJ10" si="14">SUM(AH22,AH34,AH52,AH64,AH76,AH94)</f>
        <v>31.532336117423448</v>
      </c>
      <c r="AI10" s="304">
        <f t="shared" si="14"/>
        <v>29.294777149985418</v>
      </c>
      <c r="AJ10" s="304">
        <f t="shared" si="14"/>
        <v>22.689026039843689</v>
      </c>
      <c r="AK10" s="306"/>
      <c r="AL10" s="304">
        <f t="shared" ref="AL10:AN10" si="15">SUM(AL22,AL34,AL52,AL64,AL76,AL94)</f>
        <v>5.7344591659133677</v>
      </c>
      <c r="AM10" s="304">
        <f t="shared" si="15"/>
        <v>5.8347462026032844</v>
      </c>
      <c r="AN10" s="304">
        <f t="shared" si="15"/>
        <v>5.5575953800602811</v>
      </c>
    </row>
    <row r="11" spans="1:40" x14ac:dyDescent="0.2">
      <c r="A11" s="13" t="str">
        <f>name!E6</f>
        <v>Associate professional occupations</v>
      </c>
      <c r="B11" s="304">
        <f>SUM(B23,B35,B53,B65,B77,B95)</f>
        <v>375.74934036250517</v>
      </c>
      <c r="C11" s="304">
        <f t="shared" si="0"/>
        <v>375.92965010188612</v>
      </c>
      <c r="D11" s="304">
        <f>SUM(D23,D35,D53,D65,D77,D95)</f>
        <v>411.60929315144801</v>
      </c>
      <c r="E11" s="304"/>
      <c r="F11" s="304">
        <f t="shared" si="1"/>
        <v>4.7126139780591751</v>
      </c>
      <c r="G11" s="304">
        <f t="shared" si="1"/>
        <v>6.0304216344344796</v>
      </c>
      <c r="H11" s="304">
        <f t="shared" si="1"/>
        <v>9.5359507383947886</v>
      </c>
      <c r="I11" s="304"/>
      <c r="J11" s="304">
        <f t="shared" si="2"/>
        <v>52.624374805574128</v>
      </c>
      <c r="K11" s="304">
        <f t="shared" si="2"/>
        <v>66.488905085741294</v>
      </c>
      <c r="L11" s="304">
        <f t="shared" si="2"/>
        <v>100.61087759112672</v>
      </c>
      <c r="M11" s="304"/>
      <c r="N11" s="304">
        <f t="shared" si="3"/>
        <v>104.32256009341307</v>
      </c>
      <c r="O11" s="304">
        <f t="shared" si="3"/>
        <v>110.95383858841646</v>
      </c>
      <c r="P11" s="304">
        <f t="shared" si="3"/>
        <v>122.65922811039584</v>
      </c>
      <c r="Q11" s="306"/>
      <c r="R11" s="304">
        <f t="shared" ref="R11:T11" si="16">SUM(R23,R35,R53,R65,R77,R95)</f>
        <v>27.823254939231155</v>
      </c>
      <c r="S11" s="304">
        <f t="shared" si="16"/>
        <v>27.151397572573782</v>
      </c>
      <c r="T11" s="304">
        <f t="shared" si="16"/>
        <v>27.907307827201706</v>
      </c>
      <c r="U11" s="306"/>
      <c r="V11" s="304">
        <f t="shared" ref="V11:X11" si="17">SUM(V23,V35,V53,V65,V77,V95)</f>
        <v>24.377154955856582</v>
      </c>
      <c r="W11" s="304">
        <f t="shared" si="17"/>
        <v>23.770222504976985</v>
      </c>
      <c r="X11" s="304">
        <f t="shared" si="17"/>
        <v>24.761898568267164</v>
      </c>
      <c r="Y11" s="306"/>
      <c r="Z11" s="304">
        <f t="shared" ref="Z11:AB11" si="18">SUM(Z23,Z35,Z53,Z65,Z77,Z95)</f>
        <v>72.861461233162572</v>
      </c>
      <c r="AA11" s="304">
        <f t="shared" si="18"/>
        <v>67.934002296239697</v>
      </c>
      <c r="AB11" s="304">
        <f t="shared" si="18"/>
        <v>68.588722622650522</v>
      </c>
      <c r="AC11" s="306"/>
      <c r="AD11" s="304">
        <f t="shared" ref="AD11:AF11" si="19">SUM(AD23,AD35,AD53,AD65,AD77,AD95)</f>
        <v>50.941953515782565</v>
      </c>
      <c r="AE11" s="304">
        <f t="shared" si="19"/>
        <v>41.671741066185049</v>
      </c>
      <c r="AF11" s="304">
        <f t="shared" si="19"/>
        <v>31.198078852004613</v>
      </c>
      <c r="AG11" s="306"/>
      <c r="AH11" s="304">
        <f t="shared" ref="AH11:AJ11" si="20">SUM(AH23,AH35,AH53,AH65,AH77,AH95)</f>
        <v>32.310064712595498</v>
      </c>
      <c r="AI11" s="304">
        <f t="shared" si="20"/>
        <v>27.168864698411468</v>
      </c>
      <c r="AJ11" s="304">
        <f t="shared" si="20"/>
        <v>21.884797097000533</v>
      </c>
      <c r="AK11" s="306"/>
      <c r="AL11" s="304">
        <f t="shared" ref="AL11:AN11" si="21">SUM(AL23,AL35,AL53,AL65,AL77,AL95)</f>
        <v>5.7759021288303964</v>
      </c>
      <c r="AM11" s="304">
        <f t="shared" si="21"/>
        <v>4.760256654906927</v>
      </c>
      <c r="AN11" s="304">
        <f t="shared" si="21"/>
        <v>4.4624317444061612</v>
      </c>
    </row>
    <row r="12" spans="1:40" x14ac:dyDescent="0.2">
      <c r="A12" s="13" t="str">
        <f>name!E7</f>
        <v>Administrative and secretarial occupations</v>
      </c>
      <c r="B12" s="304">
        <f t="shared" si="0"/>
        <v>294.34089992140417</v>
      </c>
      <c r="C12" s="304">
        <f t="shared" si="0"/>
        <v>279.53997272082484</v>
      </c>
      <c r="D12" s="304">
        <f t="shared" si="0"/>
        <v>261.6298325316871</v>
      </c>
      <c r="E12" s="304"/>
      <c r="F12" s="304">
        <f t="shared" si="1"/>
        <v>1.4195209466916734</v>
      </c>
      <c r="G12" s="304">
        <f t="shared" si="1"/>
        <v>1.9412044015061367</v>
      </c>
      <c r="H12" s="304">
        <f t="shared" si="1"/>
        <v>3.3757836613126972</v>
      </c>
      <c r="I12" s="304"/>
      <c r="J12" s="304">
        <f t="shared" si="2"/>
        <v>19.071682102055885</v>
      </c>
      <c r="K12" s="304">
        <f t="shared" si="2"/>
        <v>25.604659032544436</v>
      </c>
      <c r="L12" s="304">
        <f t="shared" si="2"/>
        <v>39.906155071520551</v>
      </c>
      <c r="M12" s="304"/>
      <c r="N12" s="304">
        <f t="shared" si="3"/>
        <v>54.674210887265474</v>
      </c>
      <c r="O12" s="304">
        <f t="shared" si="3"/>
        <v>63.032330466509919</v>
      </c>
      <c r="P12" s="304">
        <f t="shared" si="3"/>
        <v>79.800230503629152</v>
      </c>
      <c r="Q12" s="306"/>
      <c r="R12" s="304">
        <f t="shared" ref="R12:T12" si="22">SUM(R24,R36,R54,R66,R78,R96)</f>
        <v>21.112312732341078</v>
      </c>
      <c r="S12" s="304">
        <f t="shared" si="22"/>
        <v>23.511434409419362</v>
      </c>
      <c r="T12" s="304">
        <f t="shared" si="22"/>
        <v>26.541677542734924</v>
      </c>
      <c r="U12" s="306"/>
      <c r="V12" s="304">
        <f t="shared" ref="V12:X12" si="23">SUM(V24,V36,V54,V66,V78,V96)</f>
        <v>20.086695327225968</v>
      </c>
      <c r="W12" s="304">
        <f t="shared" si="23"/>
        <v>21.548508825939486</v>
      </c>
      <c r="X12" s="304">
        <f t="shared" si="23"/>
        <v>25.55369125635184</v>
      </c>
      <c r="Y12" s="306"/>
      <c r="Z12" s="304">
        <f t="shared" ref="Z12:AA12" si="24">SUM(Z24,Z36,Z54,Z66,Z78,Z96)</f>
        <v>65.444404954467984</v>
      </c>
      <c r="AA12" s="304">
        <f t="shared" si="24"/>
        <v>62.195422910014969</v>
      </c>
      <c r="AB12" s="304">
        <f>SUM(AB24,AB36,AB54,AB66,AB78,AB96)</f>
        <v>48.393725434713268</v>
      </c>
      <c r="AC12" s="306"/>
      <c r="AD12" s="304">
        <f t="shared" ref="AD12:AE12" si="25">SUM(AD24,AD36,AD54,AD66,AD78,AD96)</f>
        <v>65.420033112787365</v>
      </c>
      <c r="AE12" s="304">
        <f t="shared" si="25"/>
        <v>50.442445156192825</v>
      </c>
      <c r="AF12" s="304">
        <f>SUM(AF24,AF36,AF54,AF66,AF78,AF96)</f>
        <v>26.52960544463032</v>
      </c>
      <c r="AG12" s="306"/>
      <c r="AH12" s="304">
        <f t="shared" ref="AH12:AI12" si="26">SUM(AH24,AH36,AH54,AH66,AH78,AH96)</f>
        <v>40.283290342481706</v>
      </c>
      <c r="AI12" s="304">
        <f t="shared" si="26"/>
        <v>26.079961890612235</v>
      </c>
      <c r="AJ12" s="304">
        <f>SUM(AJ24,AJ36,AJ54,AJ66,AJ78,AJ96)</f>
        <v>9.4116595931452469</v>
      </c>
      <c r="AK12" s="306"/>
      <c r="AL12" s="304">
        <f t="shared" ref="AL12:AM12" si="27">SUM(AL24,AL36,AL54,AL66,AL78,AL96)</f>
        <v>6.8287495160870328</v>
      </c>
      <c r="AM12" s="304">
        <f t="shared" si="27"/>
        <v>5.1840056280854769</v>
      </c>
      <c r="AN12" s="304">
        <f>SUM(AN24,AN36,AN54,AN66,AN78,AN96)</f>
        <v>2.1173040236491008</v>
      </c>
    </row>
    <row r="13" spans="1:40" x14ac:dyDescent="0.2">
      <c r="A13" s="13" t="str">
        <f>name!E8</f>
        <v>Skilled trades occupations</v>
      </c>
      <c r="B13" s="304">
        <f t="shared" si="0"/>
        <v>298.01318493355484</v>
      </c>
      <c r="C13" s="304">
        <f t="shared" si="0"/>
        <v>307.18073602606751</v>
      </c>
      <c r="D13" s="304">
        <f t="shared" si="0"/>
        <v>306.49084511758696</v>
      </c>
      <c r="E13" s="304"/>
      <c r="F13" s="304">
        <f t="shared" si="1"/>
        <v>0.49366712928268475</v>
      </c>
      <c r="G13" s="304">
        <f t="shared" si="1"/>
        <v>0.73064885139167912</v>
      </c>
      <c r="H13" s="304">
        <f t="shared" si="1"/>
        <v>1.1787571174043345</v>
      </c>
      <c r="I13" s="304"/>
      <c r="J13" s="304">
        <f t="shared" si="2"/>
        <v>5.8466580016050944</v>
      </c>
      <c r="K13" s="304">
        <f t="shared" si="2"/>
        <v>9.3835582376671383</v>
      </c>
      <c r="L13" s="304">
        <f t="shared" si="2"/>
        <v>16.123723421743225</v>
      </c>
      <c r="M13" s="304"/>
      <c r="N13" s="304">
        <f t="shared" si="3"/>
        <v>18.507395409974837</v>
      </c>
      <c r="O13" s="304">
        <f t="shared" si="3"/>
        <v>24.223226158350624</v>
      </c>
      <c r="P13" s="304">
        <f t="shared" si="3"/>
        <v>31.049804232979124</v>
      </c>
      <c r="Q13" s="306"/>
      <c r="R13" s="304">
        <f t="shared" ref="R13:T13" si="28">SUM(R25,R37,R55,R67,R79,R97)</f>
        <v>8.7194372007519529</v>
      </c>
      <c r="S13" s="304">
        <f t="shared" si="28"/>
        <v>11.095076929190828</v>
      </c>
      <c r="T13" s="304">
        <f t="shared" si="28"/>
        <v>14.255400504522042</v>
      </c>
      <c r="U13" s="306"/>
      <c r="V13" s="304">
        <f t="shared" ref="V13:X13" si="29">SUM(V25,V37,V55,V67,V79,V97)</f>
        <v>16.669283298000884</v>
      </c>
      <c r="W13" s="304">
        <f t="shared" si="29"/>
        <v>20.599181656777581</v>
      </c>
      <c r="X13" s="304">
        <f t="shared" si="29"/>
        <v>24.724789053314606</v>
      </c>
      <c r="Y13" s="306"/>
      <c r="Z13" s="304">
        <f t="shared" ref="Z13:AB13" si="30">SUM(Z25,Z37,Z55,Z67,Z79,Z97)</f>
        <v>101.28965468631091</v>
      </c>
      <c r="AA13" s="304">
        <f t="shared" si="30"/>
        <v>106.35953924722399</v>
      </c>
      <c r="AB13" s="304">
        <f t="shared" si="30"/>
        <v>107.09758470292331</v>
      </c>
      <c r="AC13" s="306"/>
      <c r="AD13" s="304">
        <f t="shared" ref="AD13:AF13" si="31">SUM(AD25,AD37,AD55,AD67,AD79,AD97)</f>
        <v>77.891078253449876</v>
      </c>
      <c r="AE13" s="304">
        <f t="shared" si="31"/>
        <v>73.824128718755958</v>
      </c>
      <c r="AF13" s="304">
        <f t="shared" si="31"/>
        <v>65.547224987596266</v>
      </c>
      <c r="AG13" s="306"/>
      <c r="AH13" s="304">
        <f t="shared" ref="AH13:AJ13" si="32">SUM(AH25,AH37,AH55,AH67,AH79,AH97)</f>
        <v>47.423076217032047</v>
      </c>
      <c r="AI13" s="304">
        <f t="shared" si="32"/>
        <v>46.645264873897339</v>
      </c>
      <c r="AJ13" s="304">
        <f t="shared" si="32"/>
        <v>40.50066589838633</v>
      </c>
      <c r="AK13" s="306"/>
      <c r="AL13" s="304">
        <f t="shared" ref="AL13:AN13" si="33">SUM(AL25,AL37,AL55,AL67,AL79,AL97)</f>
        <v>21.172934737146583</v>
      </c>
      <c r="AM13" s="304">
        <f t="shared" si="33"/>
        <v>14.320111352812402</v>
      </c>
      <c r="AN13" s="304">
        <f t="shared" si="33"/>
        <v>6.0128951987176391</v>
      </c>
    </row>
    <row r="14" spans="1:40" x14ac:dyDescent="0.2">
      <c r="A14" s="13" t="str">
        <f>name!E9</f>
        <v>Caring, leisure and other service occupations</v>
      </c>
      <c r="B14" s="304">
        <f t="shared" si="0"/>
        <v>277.08533235276263</v>
      </c>
      <c r="C14" s="304">
        <f t="shared" si="0"/>
        <v>303.49396593889492</v>
      </c>
      <c r="D14" s="304">
        <f t="shared" si="0"/>
        <v>336.06765480598966</v>
      </c>
      <c r="E14" s="304"/>
      <c r="F14" s="304">
        <f t="shared" si="1"/>
        <v>0.29267078247206957</v>
      </c>
      <c r="G14" s="304">
        <f t="shared" si="1"/>
        <v>0.42593363952139712</v>
      </c>
      <c r="H14" s="304">
        <f t="shared" si="1"/>
        <v>0.70730771754038591</v>
      </c>
      <c r="I14" s="304"/>
      <c r="J14" s="304">
        <f t="shared" si="2"/>
        <v>10.292358494619418</v>
      </c>
      <c r="K14" s="304">
        <f t="shared" si="2"/>
        <v>14.754547576059554</v>
      </c>
      <c r="L14" s="304">
        <f t="shared" si="2"/>
        <v>25.072799847223905</v>
      </c>
      <c r="M14" s="304"/>
      <c r="N14" s="304">
        <f t="shared" si="3"/>
        <v>32.729180164832009</v>
      </c>
      <c r="O14" s="304">
        <f t="shared" si="3"/>
        <v>40.689301530376184</v>
      </c>
      <c r="P14" s="304">
        <f t="shared" si="3"/>
        <v>51.059492414974841</v>
      </c>
      <c r="Q14" s="306"/>
      <c r="R14" s="304">
        <f>SUM(R26,R38,R56,R68,R80,R98)</f>
        <v>25.353986780898989</v>
      </c>
      <c r="S14" s="304">
        <f t="shared" ref="S14:T14" si="34">SUM(S26,S38,S56,S68,S80,S98)</f>
        <v>28.414571505693367</v>
      </c>
      <c r="T14" s="304">
        <f t="shared" si="34"/>
        <v>31.878552769215524</v>
      </c>
      <c r="U14" s="306"/>
      <c r="V14" s="304">
        <f t="shared" ref="V14:X14" si="35">SUM(V26,V38,V56,V68,V80,V98)</f>
        <v>17.909231058668702</v>
      </c>
      <c r="W14" s="304">
        <f t="shared" si="35"/>
        <v>20.999557886335509</v>
      </c>
      <c r="X14" s="304">
        <f t="shared" si="35"/>
        <v>25.560817687863413</v>
      </c>
      <c r="Y14" s="306"/>
      <c r="Z14" s="304">
        <f t="shared" ref="Z14:AB14" si="36">SUM(Z26,Z38,Z56,Z68,Z80,Z98)</f>
        <v>97.990366978054269</v>
      </c>
      <c r="AA14" s="304">
        <f t="shared" si="36"/>
        <v>111.32039149428726</v>
      </c>
      <c r="AB14" s="304">
        <f t="shared" si="36"/>
        <v>130.25238082663469</v>
      </c>
      <c r="AC14" s="306"/>
      <c r="AD14" s="304">
        <f t="shared" ref="AD14:AF14" si="37">SUM(AD26,AD38,AD56,AD68,AD80,AD98)</f>
        <v>67.360861131163617</v>
      </c>
      <c r="AE14" s="304">
        <f t="shared" si="37"/>
        <v>64.119587194130901</v>
      </c>
      <c r="AF14" s="304">
        <f t="shared" si="37"/>
        <v>49.096809574999526</v>
      </c>
      <c r="AG14" s="306"/>
      <c r="AH14" s="304">
        <f t="shared" ref="AH14:AJ14" si="38">SUM(AH26,AH38,AH56,AH68,AH80,AH98)</f>
        <v>20.723281008579796</v>
      </c>
      <c r="AI14" s="304">
        <f t="shared" si="38"/>
        <v>19.032912952870287</v>
      </c>
      <c r="AJ14" s="304">
        <f t="shared" si="38"/>
        <v>19.041897967703576</v>
      </c>
      <c r="AK14" s="306"/>
      <c r="AL14" s="304">
        <f t="shared" ref="AL14:AN14" si="39">SUM(AL26,AL38,AL56,AL68,AL80,AL98)</f>
        <v>4.4333959534737328</v>
      </c>
      <c r="AM14" s="304">
        <f t="shared" si="39"/>
        <v>3.737162159620437</v>
      </c>
      <c r="AN14" s="304">
        <f t="shared" si="39"/>
        <v>3.3975959998338325</v>
      </c>
    </row>
    <row r="15" spans="1:40" x14ac:dyDescent="0.2">
      <c r="A15" s="13" t="str">
        <f>name!E10</f>
        <v>Sales and customer service occupations</v>
      </c>
      <c r="B15" s="304">
        <f t="shared" si="0"/>
        <v>253.42954939024082</v>
      </c>
      <c r="C15" s="304">
        <f t="shared" si="0"/>
        <v>255.34052772626305</v>
      </c>
      <c r="D15" s="304">
        <f t="shared" si="0"/>
        <v>254.44754524875711</v>
      </c>
      <c r="E15" s="304"/>
      <c r="F15" s="304">
        <f t="shared" si="1"/>
        <v>0.62656689095363871</v>
      </c>
      <c r="G15" s="304">
        <f t="shared" si="1"/>
        <v>0.92627841025142033</v>
      </c>
      <c r="H15" s="304">
        <f t="shared" si="1"/>
        <v>1.4460502699159072</v>
      </c>
      <c r="I15" s="304"/>
      <c r="J15" s="304">
        <f t="shared" si="2"/>
        <v>8.8474302474680222</v>
      </c>
      <c r="K15" s="304">
        <f t="shared" si="2"/>
        <v>12.774559626618904</v>
      </c>
      <c r="L15" s="304">
        <f t="shared" si="2"/>
        <v>21.837836350932474</v>
      </c>
      <c r="M15" s="304"/>
      <c r="N15" s="304">
        <f t="shared" si="3"/>
        <v>33.570531341155174</v>
      </c>
      <c r="O15" s="304">
        <f t="shared" si="3"/>
        <v>40.80818134263415</v>
      </c>
      <c r="P15" s="304">
        <f t="shared" si="3"/>
        <v>52.318751564098029</v>
      </c>
      <c r="Q15" s="306"/>
      <c r="R15" s="304">
        <f t="shared" ref="R15:T15" si="40">SUM(R27,R39,R57,R69,R81,R99)</f>
        <v>11.511229746290415</v>
      </c>
      <c r="S15" s="304">
        <f t="shared" si="40"/>
        <v>13.496906601582811</v>
      </c>
      <c r="T15" s="304">
        <f t="shared" si="40"/>
        <v>17.135533794272877</v>
      </c>
      <c r="U15" s="306"/>
      <c r="V15" s="304">
        <f t="shared" ref="V15:X15" si="41">SUM(V27,V39,V57,V69,V81,V99)</f>
        <v>9.6369892561389605</v>
      </c>
      <c r="W15" s="304">
        <f t="shared" si="41"/>
        <v>11.111854933436319</v>
      </c>
      <c r="X15" s="304">
        <f t="shared" si="41"/>
        <v>13.050143575708875</v>
      </c>
      <c r="Y15" s="306"/>
      <c r="Z15" s="304">
        <f t="shared" ref="Z15:AB15" si="42">SUM(Z27,Z39,Z57,Z69,Z81,Z99)</f>
        <v>70.053860748095019</v>
      </c>
      <c r="AA15" s="304">
        <f t="shared" si="42"/>
        <v>72.822997974847851</v>
      </c>
      <c r="AB15" s="304">
        <f t="shared" si="42"/>
        <v>79.981837502815949</v>
      </c>
      <c r="AC15" s="306"/>
      <c r="AD15" s="304">
        <f t="shared" ref="AD15:AF15" si="43">SUM(AD27,AD39,AD57,AD69,AD81,AD99)</f>
        <v>63.135857189387941</v>
      </c>
      <c r="AE15" s="304">
        <f t="shared" si="43"/>
        <v>57.738087431693657</v>
      </c>
      <c r="AF15" s="304">
        <f t="shared" si="43"/>
        <v>45.939926494195696</v>
      </c>
      <c r="AG15" s="306"/>
      <c r="AH15" s="304">
        <f t="shared" ref="AH15:AJ15" si="44">SUM(AH27,AH39,AH57,AH69,AH81,AH99)</f>
        <v>43.708875454377377</v>
      </c>
      <c r="AI15" s="304">
        <f t="shared" si="44"/>
        <v>37.116405572028015</v>
      </c>
      <c r="AJ15" s="304">
        <f t="shared" si="44"/>
        <v>16.056428387495789</v>
      </c>
      <c r="AK15" s="306"/>
      <c r="AL15" s="304">
        <f t="shared" ref="AL15:AN15" si="45">SUM(AL27,AL39,AL57,AL69,AL81,AL99)</f>
        <v>12.338208516374307</v>
      </c>
      <c r="AM15" s="304">
        <f t="shared" si="45"/>
        <v>8.5452558331699251</v>
      </c>
      <c r="AN15" s="304">
        <f t="shared" si="45"/>
        <v>6.6810373093215185</v>
      </c>
    </row>
    <row r="16" spans="1:40" x14ac:dyDescent="0.2">
      <c r="A16" s="13" t="str">
        <f>name!E11</f>
        <v>Process, plant and machine operatives</v>
      </c>
      <c r="B16" s="304">
        <f t="shared" si="0"/>
        <v>144.73576200901729</v>
      </c>
      <c r="C16" s="304">
        <f t="shared" si="0"/>
        <v>163.64072742509529</v>
      </c>
      <c r="D16" s="304">
        <f t="shared" si="0"/>
        <v>165.50577506208239</v>
      </c>
      <c r="E16" s="304"/>
      <c r="F16" s="304">
        <f t="shared" si="1"/>
        <v>0.3098032295229648</v>
      </c>
      <c r="G16" s="304">
        <f t="shared" si="1"/>
        <v>0.57724916897680012</v>
      </c>
      <c r="H16" s="304">
        <f t="shared" si="1"/>
        <v>1.1099209504312748</v>
      </c>
      <c r="I16" s="304"/>
      <c r="J16" s="304">
        <f t="shared" si="2"/>
        <v>2.5843753448763964</v>
      </c>
      <c r="K16" s="304">
        <f t="shared" si="2"/>
        <v>4.3905100557162511</v>
      </c>
      <c r="L16" s="304">
        <f t="shared" si="2"/>
        <v>7.6468494693054012</v>
      </c>
      <c r="M16" s="304"/>
      <c r="N16" s="304">
        <f t="shared" si="3"/>
        <v>6.5675797996339762</v>
      </c>
      <c r="O16" s="304">
        <f t="shared" si="3"/>
        <v>9.6495961190351647</v>
      </c>
      <c r="P16" s="304">
        <f t="shared" si="3"/>
        <v>14.616832048741303</v>
      </c>
      <c r="Q16" s="306"/>
      <c r="R16" s="304">
        <f t="shared" ref="R16:T16" si="46">SUM(R28,R40,R58,R70,R82,R100)</f>
        <v>2.9935479982975921</v>
      </c>
      <c r="S16" s="304">
        <f t="shared" si="46"/>
        <v>4.454084594838565</v>
      </c>
      <c r="T16" s="304">
        <f t="shared" si="46"/>
        <v>6.567561531527744</v>
      </c>
      <c r="U16" s="306"/>
      <c r="V16" s="304">
        <f t="shared" ref="V16:X16" si="47">SUM(V28,V40,V58,V70,V82,V100)</f>
        <v>5.1275139127655356</v>
      </c>
      <c r="W16" s="304">
        <f t="shared" si="47"/>
        <v>7.4894885476285822</v>
      </c>
      <c r="X16" s="304">
        <f t="shared" si="47"/>
        <v>9.8272727079905273</v>
      </c>
      <c r="Y16" s="306"/>
      <c r="Z16" s="304">
        <f t="shared" ref="Z16:AB16" si="48">SUM(Z28,Z40,Z58,Z70,Z82,Z100)</f>
        <v>34.435630549109533</v>
      </c>
      <c r="AA16" s="304">
        <f t="shared" si="48"/>
        <v>43.819174773668578</v>
      </c>
      <c r="AB16" s="304">
        <f t="shared" si="48"/>
        <v>51.483791922743606</v>
      </c>
      <c r="AC16" s="306"/>
      <c r="AD16" s="304">
        <f t="shared" ref="AD16:AF16" si="49">SUM(AD28,AD40,AD58,AD70,AD82,AD100)</f>
        <v>43.353395773356212</v>
      </c>
      <c r="AE16" s="304">
        <f t="shared" si="49"/>
        <v>48.146081432411094</v>
      </c>
      <c r="AF16" s="304">
        <f t="shared" si="49"/>
        <v>45.752304504996019</v>
      </c>
      <c r="AG16" s="306"/>
      <c r="AH16" s="304">
        <f t="shared" ref="AH16:AJ16" si="50">SUM(AH28,AH40,AH58,AH70,AH82,AH100)</f>
        <v>34.803403350233872</v>
      </c>
      <c r="AI16" s="304">
        <f t="shared" si="50"/>
        <v>35.186070874543383</v>
      </c>
      <c r="AJ16" s="304">
        <f t="shared" si="50"/>
        <v>22.320312381153155</v>
      </c>
      <c r="AK16" s="306"/>
      <c r="AL16" s="304">
        <f t="shared" ref="AL16:AN16" si="51">SUM(AL28,AL40,AL58,AL70,AL82,AL100)</f>
        <v>14.560512051221218</v>
      </c>
      <c r="AM16" s="304">
        <f t="shared" si="51"/>
        <v>9.928471858276831</v>
      </c>
      <c r="AN16" s="304">
        <f t="shared" si="51"/>
        <v>6.1809295451933357</v>
      </c>
    </row>
    <row r="17" spans="1:40" x14ac:dyDescent="0.2">
      <c r="A17" s="13" t="str">
        <f>name!E12</f>
        <v>Elementary occupations</v>
      </c>
      <c r="B17" s="304">
        <f t="shared" si="0"/>
        <v>296.29705541503421</v>
      </c>
      <c r="C17" s="304">
        <f t="shared" si="0"/>
        <v>306.89225466411631</v>
      </c>
      <c r="D17" s="304">
        <f t="shared" si="0"/>
        <v>299.85757506100595</v>
      </c>
      <c r="E17" s="304"/>
      <c r="F17" s="304">
        <f t="shared" si="1"/>
        <v>0.17768038179795972</v>
      </c>
      <c r="G17" s="304">
        <f t="shared" si="1"/>
        <v>0.29103525282431469</v>
      </c>
      <c r="H17" s="304">
        <f t="shared" si="1"/>
        <v>0.43168385789722941</v>
      </c>
      <c r="I17" s="304"/>
      <c r="J17" s="304">
        <f t="shared" si="2"/>
        <v>7.0705825659037895</v>
      </c>
      <c r="K17" s="304">
        <f t="shared" si="2"/>
        <v>11.619451814107027</v>
      </c>
      <c r="L17" s="304">
        <f t="shared" si="2"/>
        <v>20.686419986189566</v>
      </c>
      <c r="M17" s="304"/>
      <c r="N17" s="304">
        <f t="shared" si="3"/>
        <v>22.743201133221714</v>
      </c>
      <c r="O17" s="304">
        <f t="shared" si="3"/>
        <v>29.762627153749396</v>
      </c>
      <c r="P17" s="304">
        <f t="shared" si="3"/>
        <v>38.519476517632597</v>
      </c>
      <c r="Q17" s="306"/>
      <c r="R17" s="304">
        <f t="shared" ref="R17:T17" si="52">SUM(R29,R41,R59,R71,R83,R101)</f>
        <v>11.104490317691608</v>
      </c>
      <c r="S17" s="304">
        <f t="shared" si="52"/>
        <v>14.30688963758581</v>
      </c>
      <c r="T17" s="304">
        <f t="shared" si="52"/>
        <v>18.827862333717512</v>
      </c>
      <c r="U17" s="306"/>
      <c r="V17" s="304">
        <f t="shared" ref="V17:X17" si="53">SUM(V29,V41,V59,V71,V83,V101)</f>
        <v>10.545782185200354</v>
      </c>
      <c r="W17" s="304">
        <f t="shared" si="53"/>
        <v>13.133833202229892</v>
      </c>
      <c r="X17" s="304">
        <f t="shared" si="53"/>
        <v>17.000440222741108</v>
      </c>
      <c r="Y17" s="306"/>
      <c r="Z17" s="304">
        <f t="shared" ref="Z17:AB17" si="54">SUM(Z29,Z41,Z59,Z71,Z83,Z101)</f>
        <v>57.825929849700699</v>
      </c>
      <c r="AA17" s="304">
        <f t="shared" si="54"/>
        <v>60.408384422110082</v>
      </c>
      <c r="AB17" s="304">
        <f t="shared" si="54"/>
        <v>61.11956998738669</v>
      </c>
      <c r="AC17" s="306"/>
      <c r="AD17" s="304">
        <f t="shared" ref="AD17:AF17" si="55">SUM(AD29,AD41,AD59,AD71,AD83,AD101)</f>
        <v>83.95054308893198</v>
      </c>
      <c r="AE17" s="304">
        <f t="shared" si="55"/>
        <v>82.704692035407376</v>
      </c>
      <c r="AF17" s="304">
        <f t="shared" si="55"/>
        <v>69.004276966300068</v>
      </c>
      <c r="AG17" s="306"/>
      <c r="AH17" s="304">
        <f t="shared" ref="AH17:AJ17" si="56">SUM(AH29,AH41,AH59,AH71,AH83,AH101)</f>
        <v>78.416850129354259</v>
      </c>
      <c r="AI17" s="304">
        <f t="shared" si="56"/>
        <v>76.753808436726828</v>
      </c>
      <c r="AJ17" s="304">
        <f t="shared" si="56"/>
        <v>56.931067730675444</v>
      </c>
      <c r="AK17" s="306"/>
      <c r="AL17" s="304">
        <f t="shared" ref="AL17:AN17" si="57">SUM(AL29,AL41,AL59,AL71,AL83,AL101)</f>
        <v>24.461995763231844</v>
      </c>
      <c r="AM17" s="304">
        <f t="shared" si="57"/>
        <v>17.911532709375589</v>
      </c>
      <c r="AN17" s="304">
        <f t="shared" si="57"/>
        <v>17.336777458465775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98.602000000047866</v>
      </c>
      <c r="C20" s="305">
        <f>SUM(C21:C29)</f>
        <v>100.27599999998824</v>
      </c>
      <c r="D20" s="305">
        <f>SUM(D21:D29)</f>
        <v>102.72099999935364</v>
      </c>
      <c r="E20" s="304"/>
      <c r="F20" s="305">
        <f>SUM(F21:F29)</f>
        <v>1.0027953767572595</v>
      </c>
      <c r="G20" s="305">
        <f>SUM(G21:G29)</f>
        <v>1.346729780303719</v>
      </c>
      <c r="H20" s="305">
        <f>SUM(H21:H29)</f>
        <v>2.0109283612670117</v>
      </c>
      <c r="I20" s="304"/>
      <c r="J20" s="305">
        <f>SUM(J21:J29)</f>
        <v>5.4430160596285786</v>
      </c>
      <c r="K20" s="305">
        <f>SUM(K21:K29)</f>
        <v>7.1226396464753421</v>
      </c>
      <c r="L20" s="305">
        <f>SUM(L21:L29)</f>
        <v>10.31564699025847</v>
      </c>
      <c r="M20" s="304"/>
      <c r="N20" s="305">
        <f>SUM(N21:N29)</f>
        <v>14.889106890875965</v>
      </c>
      <c r="O20" s="305">
        <f>SUM(O21:O29)</f>
        <v>16.848534520030547</v>
      </c>
      <c r="P20" s="305">
        <f>SUM(P21:P29)</f>
        <v>19.764155070451835</v>
      </c>
      <c r="Q20" s="306"/>
      <c r="R20" s="305">
        <f>SUM(R21:R29)</f>
        <v>4.1573145827656433</v>
      </c>
      <c r="S20" s="305">
        <f>SUM(S21:S29)</f>
        <v>4.7938614488665952</v>
      </c>
      <c r="T20" s="305">
        <f>SUM(T21:T29)</f>
        <v>5.7543333725888965</v>
      </c>
      <c r="U20" s="306"/>
      <c r="V20" s="305">
        <f>SUM(V21:V29)</f>
        <v>8.6322643114084716</v>
      </c>
      <c r="W20" s="305">
        <f>SUM(W21:W29)</f>
        <v>9.774371412300475</v>
      </c>
      <c r="X20" s="305">
        <f>SUM(X21:X29)</f>
        <v>11.439881007631964</v>
      </c>
      <c r="Y20" s="306"/>
      <c r="Z20" s="305">
        <f>SUM(Z21:Z29)</f>
        <v>20.743095967194311</v>
      </c>
      <c r="AA20" s="305">
        <f>SUM(AA21:AA29)</f>
        <v>21.309307034782968</v>
      </c>
      <c r="AB20" s="305">
        <f>SUM(AB21:AB29)</f>
        <v>22.095571745073904</v>
      </c>
      <c r="AC20" s="306"/>
      <c r="AD20" s="305">
        <f>SUM(AD21:AD29)</f>
        <v>20.015627745756753</v>
      </c>
      <c r="AE20" s="305">
        <f>SUM(AE21:AE29)</f>
        <v>18.471361345706558</v>
      </c>
      <c r="AF20" s="305">
        <f>SUM(AF21:AF29)</f>
        <v>15.686085169341435</v>
      </c>
      <c r="AG20" s="306"/>
      <c r="AH20" s="305">
        <f>SUM(AH21:AH29)</f>
        <v>13.897489756420757</v>
      </c>
      <c r="AI20" s="305">
        <f>SUM(AI21:AI29)</f>
        <v>12.153769675064233</v>
      </c>
      <c r="AJ20" s="305">
        <f>SUM(AJ21:AJ29)</f>
        <v>10.061417467195806</v>
      </c>
      <c r="AK20" s="306"/>
      <c r="AL20" s="305">
        <f>SUM(AL21:AL29)</f>
        <v>9.8212893092401288</v>
      </c>
      <c r="AM20" s="305">
        <f>SUM(AM21:AM29)</f>
        <v>8.4554251364578139</v>
      </c>
      <c r="AN20" s="305">
        <f>SUM(AN21:AN29)</f>
        <v>5.5929808155443279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7.7533636182229131</v>
      </c>
      <c r="C21" s="304">
        <f t="shared" ref="C21:D21" si="59">SUM(G21,K21,O21,S21,W21,AA21,AE21,AI21,AM21)</f>
        <v>8.4477886921920469</v>
      </c>
      <c r="D21" s="304">
        <f t="shared" si="59"/>
        <v>9.2793841698448691</v>
      </c>
      <c r="E21" s="304"/>
      <c r="F21" s="304">
        <v>0.26117486596030015</v>
      </c>
      <c r="G21" s="304">
        <v>0.37096736190798413</v>
      </c>
      <c r="H21" s="304">
        <v>0.52648742209284816</v>
      </c>
      <c r="I21" s="304"/>
      <c r="J21" s="304">
        <v>1.0691377403985103</v>
      </c>
      <c r="K21" s="304">
        <v>1.353721650650884</v>
      </c>
      <c r="L21" s="304">
        <v>1.8243348537472115</v>
      </c>
      <c r="M21" s="304"/>
      <c r="N21" s="304">
        <v>1.5006327134995703</v>
      </c>
      <c r="O21" s="304">
        <v>1.6251569416820508</v>
      </c>
      <c r="P21" s="304">
        <v>1.8268560991565572</v>
      </c>
      <c r="Q21" s="306"/>
      <c r="R21" s="304">
        <v>0.42267750678880772</v>
      </c>
      <c r="S21" s="304">
        <v>0.50176982864912578</v>
      </c>
      <c r="T21" s="304">
        <v>0.55589891090399424</v>
      </c>
      <c r="U21" s="306"/>
      <c r="V21" s="304">
        <v>0.46659732108009289</v>
      </c>
      <c r="W21" s="304">
        <v>0.45023218213240151</v>
      </c>
      <c r="X21" s="304">
        <v>0.44051687076602369</v>
      </c>
      <c r="Y21" s="306"/>
      <c r="Z21" s="304">
        <v>1.6249791532895324</v>
      </c>
      <c r="AA21" s="304">
        <v>1.9428229978828111</v>
      </c>
      <c r="AB21" s="304">
        <v>2.4280944558371536</v>
      </c>
      <c r="AC21" s="306"/>
      <c r="AD21" s="304">
        <v>1.1431183320649139</v>
      </c>
      <c r="AE21" s="304">
        <v>1.0770997757623679</v>
      </c>
      <c r="AF21" s="304">
        <v>0.75890237808915262</v>
      </c>
      <c r="AG21" s="306"/>
      <c r="AH21" s="304">
        <v>0.79886731439693093</v>
      </c>
      <c r="AI21" s="304">
        <v>0.72019943305512812</v>
      </c>
      <c r="AJ21" s="304">
        <v>0.49996444276399266</v>
      </c>
      <c r="AK21" s="306"/>
      <c r="AL21" s="304">
        <v>0.46617867074425506</v>
      </c>
      <c r="AM21" s="304">
        <v>0.4058185204692939</v>
      </c>
      <c r="AN21" s="304">
        <v>0.41832873648793706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10.187785511207613</v>
      </c>
      <c r="C22" s="304">
        <f t="shared" ref="C22:C29" si="61">SUM(G22,K22,O22,S22,W22,AA22,AE22,AI22,AM22)</f>
        <v>10.886375141641485</v>
      </c>
      <c r="D22" s="304">
        <f t="shared" ref="D22:D29" si="62">SUM(H22,L22,P22,T22,X22,AB22,AF22,AJ22,AN22)</f>
        <v>11.917668786439677</v>
      </c>
      <c r="E22" s="304"/>
      <c r="F22" s="304">
        <v>0.36356176969301263</v>
      </c>
      <c r="G22" s="304">
        <v>0.49376493871988292</v>
      </c>
      <c r="H22" s="304">
        <v>0.74461652095831321</v>
      </c>
      <c r="I22" s="304"/>
      <c r="J22" s="304">
        <v>1.8804123283889393</v>
      </c>
      <c r="K22" s="304">
        <v>2.4613027381787611</v>
      </c>
      <c r="L22" s="304">
        <v>3.4990713088894658</v>
      </c>
      <c r="M22" s="304"/>
      <c r="N22" s="304">
        <v>2.9984798787001368</v>
      </c>
      <c r="O22" s="304">
        <v>3.0354066853216235</v>
      </c>
      <c r="P22" s="304">
        <v>2.8863635860348298</v>
      </c>
      <c r="Q22" s="306"/>
      <c r="R22" s="304">
        <v>0.38189704086973503</v>
      </c>
      <c r="S22" s="304">
        <v>0.41187939231409404</v>
      </c>
      <c r="T22" s="304">
        <v>0.40779940286077626</v>
      </c>
      <c r="U22" s="306"/>
      <c r="V22" s="304">
        <v>1.199789311803086</v>
      </c>
      <c r="W22" s="304">
        <v>1.2677826634831546</v>
      </c>
      <c r="X22" s="304">
        <v>1.3520374646525637</v>
      </c>
      <c r="Y22" s="306"/>
      <c r="Z22" s="304">
        <v>1.1083721013621961</v>
      </c>
      <c r="AA22" s="304">
        <v>0.9846617890275734</v>
      </c>
      <c r="AB22" s="304">
        <v>0.80556002521002923</v>
      </c>
      <c r="AC22" s="306"/>
      <c r="AD22" s="304">
        <v>1.083843794180787</v>
      </c>
      <c r="AE22" s="304">
        <v>1.0391819888605978</v>
      </c>
      <c r="AF22" s="304">
        <v>1.0303159733777931</v>
      </c>
      <c r="AG22" s="306"/>
      <c r="AH22" s="304">
        <v>0.82421003257435455</v>
      </c>
      <c r="AI22" s="304">
        <v>0.84594015399610123</v>
      </c>
      <c r="AJ22" s="304">
        <v>0.81703455988031559</v>
      </c>
      <c r="AK22" s="306"/>
      <c r="AL22" s="304">
        <v>0.34721925363536665</v>
      </c>
      <c r="AM22" s="304">
        <v>0.34645479173969657</v>
      </c>
      <c r="AN22" s="304">
        <v>0.37486994457558931</v>
      </c>
    </row>
    <row r="23" spans="1:40" x14ac:dyDescent="0.2">
      <c r="A23" s="13" t="str">
        <f t="shared" si="58"/>
        <v>Associate professional occupations</v>
      </c>
      <c r="B23" s="304">
        <f t="shared" si="60"/>
        <v>7.5486327092551093</v>
      </c>
      <c r="C23" s="304">
        <f t="shared" si="61"/>
        <v>6.8714908885124171</v>
      </c>
      <c r="D23" s="304">
        <f t="shared" si="62"/>
        <v>7.1806461411250995</v>
      </c>
      <c r="E23" s="304"/>
      <c r="F23" s="304">
        <v>0.17279020092109743</v>
      </c>
      <c r="G23" s="304">
        <v>0.19628441788457759</v>
      </c>
      <c r="H23" s="304">
        <v>0.27922985241411025</v>
      </c>
      <c r="I23" s="304"/>
      <c r="J23" s="304">
        <v>0.73560030786393349</v>
      </c>
      <c r="K23" s="304">
        <v>0.83019483709493402</v>
      </c>
      <c r="L23" s="304">
        <v>1.1243505234439894</v>
      </c>
      <c r="M23" s="304"/>
      <c r="N23" s="304">
        <v>1.735939006862778</v>
      </c>
      <c r="O23" s="304">
        <v>1.6101122287215202</v>
      </c>
      <c r="P23" s="304">
        <v>1.6231040077258201</v>
      </c>
      <c r="Q23" s="306"/>
      <c r="R23" s="304">
        <v>0.26491219946550526</v>
      </c>
      <c r="S23" s="304">
        <v>0.25466793369127561</v>
      </c>
      <c r="T23" s="304">
        <v>0.28257525326990768</v>
      </c>
      <c r="U23" s="306"/>
      <c r="V23" s="304">
        <v>0.98957311049415997</v>
      </c>
      <c r="W23" s="304">
        <v>1.0082190149756352</v>
      </c>
      <c r="X23" s="304">
        <v>1.1653258210598969</v>
      </c>
      <c r="Y23" s="306"/>
      <c r="Z23" s="304">
        <v>1.6779194966006461</v>
      </c>
      <c r="AA23" s="304">
        <v>1.3566967280386537</v>
      </c>
      <c r="AB23" s="304">
        <v>1.1899022273999178</v>
      </c>
      <c r="AC23" s="306"/>
      <c r="AD23" s="304">
        <v>0.84057933742183233</v>
      </c>
      <c r="AE23" s="304">
        <v>0.57012666981764515</v>
      </c>
      <c r="AF23" s="304">
        <v>0.39026115987978122</v>
      </c>
      <c r="AG23" s="306"/>
      <c r="AH23" s="304">
        <v>0.80450448811890085</v>
      </c>
      <c r="AI23" s="304">
        <v>0.71398431610848723</v>
      </c>
      <c r="AJ23" s="304">
        <v>0.72932769538359621</v>
      </c>
      <c r="AK23" s="306"/>
      <c r="AL23" s="304">
        <v>0.32681456150625604</v>
      </c>
      <c r="AM23" s="304">
        <v>0.33120474217968904</v>
      </c>
      <c r="AN23" s="304">
        <v>0.39656960054808005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7.3839072890576603</v>
      </c>
      <c r="C24" s="304">
        <f t="shared" si="61"/>
        <v>6.7443912270754423</v>
      </c>
      <c r="D24" s="304">
        <f t="shared" si="62"/>
        <v>5.8761983028140934</v>
      </c>
      <c r="E24" s="304"/>
      <c r="F24" s="304">
        <v>2.4349681242490373E-2</v>
      </c>
      <c r="G24" s="304">
        <v>2.6929944989272543E-2</v>
      </c>
      <c r="H24" s="304">
        <v>6.25708890209003E-2</v>
      </c>
      <c r="I24" s="304"/>
      <c r="J24" s="304">
        <v>0.38323544643059299</v>
      </c>
      <c r="K24" s="304">
        <v>0.46183127701274235</v>
      </c>
      <c r="L24" s="304">
        <v>0.71289228053153653</v>
      </c>
      <c r="M24" s="304"/>
      <c r="N24" s="304">
        <v>1.272811354330293</v>
      </c>
      <c r="O24" s="304">
        <v>1.2917919097392869</v>
      </c>
      <c r="P24" s="304">
        <v>1.3480905371866629</v>
      </c>
      <c r="Q24" s="306"/>
      <c r="R24" s="304">
        <v>0.21943390145633043</v>
      </c>
      <c r="S24" s="304">
        <v>0.21608621397090388</v>
      </c>
      <c r="T24" s="304">
        <v>0.17056420101044062</v>
      </c>
      <c r="U24" s="306"/>
      <c r="V24" s="304">
        <v>0.70772781429641052</v>
      </c>
      <c r="W24" s="304">
        <v>0.71497556747871815</v>
      </c>
      <c r="X24" s="304">
        <v>0.71003348961857671</v>
      </c>
      <c r="Y24" s="306"/>
      <c r="Z24" s="304">
        <v>1.6245049323412901</v>
      </c>
      <c r="AA24" s="304">
        <v>1.3997976699022108</v>
      </c>
      <c r="AB24" s="304">
        <v>1.1796867127885164</v>
      </c>
      <c r="AC24" s="306"/>
      <c r="AD24" s="304">
        <v>1.8119431226701521</v>
      </c>
      <c r="AE24" s="304">
        <v>1.4632031752408006</v>
      </c>
      <c r="AF24" s="304">
        <v>0.90084216054042199</v>
      </c>
      <c r="AG24" s="306"/>
      <c r="AH24" s="304">
        <v>0.84755493506532376</v>
      </c>
      <c r="AI24" s="304">
        <v>0.70907042374600193</v>
      </c>
      <c r="AJ24" s="304">
        <v>0.53506208648878328</v>
      </c>
      <c r="AK24" s="306"/>
      <c r="AL24" s="304">
        <v>0.49234610122477745</v>
      </c>
      <c r="AM24" s="304">
        <v>0.46070504499550624</v>
      </c>
      <c r="AN24" s="304">
        <v>0.25645594562825541</v>
      </c>
    </row>
    <row r="25" spans="1:40" x14ac:dyDescent="0.2">
      <c r="A25" s="13" t="str">
        <f t="shared" si="58"/>
        <v>Skilled trades occupations</v>
      </c>
      <c r="B25" s="304">
        <f t="shared" si="60"/>
        <v>31.353815581228083</v>
      </c>
      <c r="C25" s="304">
        <f t="shared" si="61"/>
        <v>30.1746597557818</v>
      </c>
      <c r="D25" s="304">
        <f t="shared" si="62"/>
        <v>29.757080470901375</v>
      </c>
      <c r="E25" s="304"/>
      <c r="F25" s="304">
        <v>0.1331320657402642</v>
      </c>
      <c r="G25" s="304">
        <v>0.18452230752091556</v>
      </c>
      <c r="H25" s="304">
        <v>0.31198062221256023</v>
      </c>
      <c r="I25" s="304"/>
      <c r="J25" s="304">
        <v>0.55499491726645933</v>
      </c>
      <c r="K25" s="304">
        <v>0.77479033150753407</v>
      </c>
      <c r="L25" s="304">
        <v>1.3130289491448053</v>
      </c>
      <c r="M25" s="304"/>
      <c r="N25" s="304">
        <v>3.9375506421648141</v>
      </c>
      <c r="O25" s="304">
        <v>4.768012516048052</v>
      </c>
      <c r="P25" s="304">
        <v>6.6559576900594504</v>
      </c>
      <c r="Q25" s="306"/>
      <c r="R25" s="304">
        <v>1.4371307968512443</v>
      </c>
      <c r="S25" s="304">
        <v>1.7178159702493934</v>
      </c>
      <c r="T25" s="304">
        <v>2.2984308098352022</v>
      </c>
      <c r="U25" s="306"/>
      <c r="V25" s="304">
        <v>2.9092301382549595</v>
      </c>
      <c r="W25" s="304">
        <v>3.3731605170329413</v>
      </c>
      <c r="X25" s="304">
        <v>4.3388790463330453</v>
      </c>
      <c r="Y25" s="306"/>
      <c r="Z25" s="304">
        <v>6.0627187921899921</v>
      </c>
      <c r="AA25" s="304">
        <v>5.6065733719885014</v>
      </c>
      <c r="AB25" s="304">
        <v>5.2326930357011898</v>
      </c>
      <c r="AC25" s="306"/>
      <c r="AD25" s="304">
        <v>6.6792449026256868</v>
      </c>
      <c r="AE25" s="304">
        <v>5.9577953909952255</v>
      </c>
      <c r="AF25" s="304">
        <v>5.4989389664259862</v>
      </c>
      <c r="AG25" s="306"/>
      <c r="AH25" s="304">
        <v>5.1573992610602097</v>
      </c>
      <c r="AI25" s="304">
        <v>4.5407897764672382</v>
      </c>
      <c r="AJ25" s="304">
        <v>3.4337590014875685</v>
      </c>
      <c r="AK25" s="306"/>
      <c r="AL25" s="304">
        <v>4.4824140650744528</v>
      </c>
      <c r="AM25" s="304">
        <v>3.2511995739719981</v>
      </c>
      <c r="AN25" s="304">
        <v>0.67341234970156783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4.9088662749007241</v>
      </c>
      <c r="C26" s="304">
        <f t="shared" si="61"/>
        <v>5.1570136668202471</v>
      </c>
      <c r="D26" s="304">
        <f t="shared" si="62"/>
        <v>4.9605716883778435</v>
      </c>
      <c r="E26" s="304"/>
      <c r="F26" s="304">
        <v>1.7133392610010203E-2</v>
      </c>
      <c r="G26" s="304">
        <v>2.9395926097940353E-2</v>
      </c>
      <c r="H26" s="304">
        <v>2.1576013686770912E-2</v>
      </c>
      <c r="I26" s="304"/>
      <c r="J26" s="304">
        <v>0.10419480775412118</v>
      </c>
      <c r="K26" s="304">
        <v>0.13186816237856711</v>
      </c>
      <c r="L26" s="304">
        <v>0.17783674175713945</v>
      </c>
      <c r="M26" s="304"/>
      <c r="N26" s="304">
        <v>0.88762175400313925</v>
      </c>
      <c r="O26" s="304">
        <v>1.0124765250961698</v>
      </c>
      <c r="P26" s="304">
        <v>1.0318382845878435</v>
      </c>
      <c r="Q26" s="306"/>
      <c r="R26" s="304">
        <v>0.2281164069692401</v>
      </c>
      <c r="S26" s="304">
        <v>0.29063157952285096</v>
      </c>
      <c r="T26" s="304">
        <v>0.36570384594787492</v>
      </c>
      <c r="U26" s="306"/>
      <c r="V26" s="304">
        <v>0.93876208056780885</v>
      </c>
      <c r="W26" s="304">
        <v>1.1738392774994764</v>
      </c>
      <c r="X26" s="304">
        <v>1.2583356334418874</v>
      </c>
      <c r="Y26" s="306"/>
      <c r="Z26" s="304">
        <v>0.88743057072408327</v>
      </c>
      <c r="AA26" s="304">
        <v>0.85751103218797819</v>
      </c>
      <c r="AB26" s="304">
        <v>0.69430415065349871</v>
      </c>
      <c r="AC26" s="306"/>
      <c r="AD26" s="304">
        <v>0.92614279334070981</v>
      </c>
      <c r="AE26" s="304">
        <v>0.72327873818870403</v>
      </c>
      <c r="AF26" s="304">
        <v>0.39215219079903851</v>
      </c>
      <c r="AG26" s="306"/>
      <c r="AH26" s="304">
        <v>0.62100042317140869</v>
      </c>
      <c r="AI26" s="304">
        <v>0.61471347032415802</v>
      </c>
      <c r="AJ26" s="304">
        <v>0.64103021436393082</v>
      </c>
      <c r="AK26" s="306"/>
      <c r="AL26" s="304">
        <v>0.29846404576020275</v>
      </c>
      <c r="AM26" s="304">
        <v>0.32329895552440091</v>
      </c>
      <c r="AN26" s="304">
        <v>0.37779461313985829</v>
      </c>
    </row>
    <row r="27" spans="1:40" x14ac:dyDescent="0.2">
      <c r="A27" s="13" t="str">
        <f t="shared" si="58"/>
        <v>Sales and customer service occupations</v>
      </c>
      <c r="B27" s="304">
        <f t="shared" si="60"/>
        <v>5.1898154151567448</v>
      </c>
      <c r="C27" s="304">
        <f t="shared" si="61"/>
        <v>5.5402377923133308</v>
      </c>
      <c r="D27" s="304">
        <f t="shared" si="62"/>
        <v>5.9607039269607691</v>
      </c>
      <c r="E27" s="304"/>
      <c r="F27" s="304">
        <v>2.8998525774239572E-2</v>
      </c>
      <c r="G27" s="304">
        <v>4.1947142475232679E-2</v>
      </c>
      <c r="H27" s="304">
        <v>5.9371742547272517E-2</v>
      </c>
      <c r="I27" s="304"/>
      <c r="J27" s="304">
        <v>0.1936366251336373</v>
      </c>
      <c r="K27" s="304">
        <v>0.2764814449111177</v>
      </c>
      <c r="L27" s="304">
        <v>0.3942941542769996</v>
      </c>
      <c r="M27" s="304"/>
      <c r="N27" s="304">
        <v>0.68233605554025567</v>
      </c>
      <c r="O27" s="304">
        <v>0.80490025570893819</v>
      </c>
      <c r="P27" s="304">
        <v>0.96405632758002469</v>
      </c>
      <c r="Q27" s="306"/>
      <c r="R27" s="304">
        <v>0.50217147568323728</v>
      </c>
      <c r="S27" s="304">
        <v>0.55501283776988519</v>
      </c>
      <c r="T27" s="304">
        <v>0.68180119238360937</v>
      </c>
      <c r="U27" s="306"/>
      <c r="V27" s="304">
        <v>0.22713676433677893</v>
      </c>
      <c r="W27" s="304">
        <v>0.23672913577954965</v>
      </c>
      <c r="X27" s="304">
        <v>0.24475103924508423</v>
      </c>
      <c r="Y27" s="306"/>
      <c r="Z27" s="304">
        <v>1.2662282110198246</v>
      </c>
      <c r="AA27" s="304">
        <v>1.45797923980971</v>
      </c>
      <c r="AB27" s="304">
        <v>1.6540314987303399</v>
      </c>
      <c r="AC27" s="306"/>
      <c r="AD27" s="304">
        <v>0.97851397466160461</v>
      </c>
      <c r="AE27" s="304">
        <v>0.98236269405488863</v>
      </c>
      <c r="AF27" s="304">
        <v>0.90826941607212475</v>
      </c>
      <c r="AG27" s="306"/>
      <c r="AH27" s="304">
        <v>1.0199040318492063</v>
      </c>
      <c r="AI27" s="304">
        <v>0.95638862893725818</v>
      </c>
      <c r="AJ27" s="304">
        <v>0.85902748980678534</v>
      </c>
      <c r="AK27" s="306"/>
      <c r="AL27" s="304">
        <v>0.29088975115795945</v>
      </c>
      <c r="AM27" s="304">
        <v>0.22843641286675131</v>
      </c>
      <c r="AN27" s="304">
        <v>0.19510106631852872</v>
      </c>
    </row>
    <row r="28" spans="1:40" x14ac:dyDescent="0.2">
      <c r="A28" s="13" t="str">
        <f t="shared" si="58"/>
        <v>Process, plant and machine operatives</v>
      </c>
      <c r="B28" s="304">
        <f t="shared" si="60"/>
        <v>9.6356919372376417</v>
      </c>
      <c r="C28" s="304">
        <f t="shared" si="61"/>
        <v>10.829520832035618</v>
      </c>
      <c r="D28" s="304">
        <f t="shared" si="62"/>
        <v>11.706794566616571</v>
      </c>
      <c r="E28" s="304"/>
      <c r="F28" s="304">
        <v>1.4280851584459145E-3</v>
      </c>
      <c r="G28" s="304">
        <v>2.6149275732756153E-3</v>
      </c>
      <c r="H28" s="304">
        <v>4.6868485876933761E-3</v>
      </c>
      <c r="I28" s="304"/>
      <c r="J28" s="304">
        <v>0.1323166011132966</v>
      </c>
      <c r="K28" s="304">
        <v>0.21289709211354335</v>
      </c>
      <c r="L28" s="304">
        <v>0.33310985317624076</v>
      </c>
      <c r="M28" s="304"/>
      <c r="N28" s="304">
        <v>0.41132645686915148</v>
      </c>
      <c r="O28" s="304">
        <v>0.65489171710823735</v>
      </c>
      <c r="P28" s="304">
        <v>1.0107229855405628</v>
      </c>
      <c r="Q28" s="306"/>
      <c r="R28" s="304">
        <v>0.16124099484128654</v>
      </c>
      <c r="S28" s="304">
        <v>0.25497928798341241</v>
      </c>
      <c r="T28" s="304">
        <v>0.3970391307537483</v>
      </c>
      <c r="U28" s="306"/>
      <c r="V28" s="304">
        <v>0.34324599355386465</v>
      </c>
      <c r="W28" s="304">
        <v>0.50509515814110606</v>
      </c>
      <c r="X28" s="304">
        <v>0.78705372291998765</v>
      </c>
      <c r="Y28" s="306"/>
      <c r="Z28" s="304">
        <v>2.879072726638209</v>
      </c>
      <c r="AA28" s="304">
        <v>3.5489328180610884</v>
      </c>
      <c r="AB28" s="304">
        <v>4.4839576180324148</v>
      </c>
      <c r="AC28" s="306"/>
      <c r="AD28" s="304">
        <v>2.9913426639598391</v>
      </c>
      <c r="AE28" s="304">
        <v>3.1785019423699183</v>
      </c>
      <c r="AF28" s="304">
        <v>2.9770689639220755</v>
      </c>
      <c r="AG28" s="306"/>
      <c r="AH28" s="304">
        <v>1.3474358255235825</v>
      </c>
      <c r="AI28" s="304">
        <v>1.1045662279648034</v>
      </c>
      <c r="AJ28" s="304">
        <v>0.72676626970311609</v>
      </c>
      <c r="AK28" s="306"/>
      <c r="AL28" s="304">
        <v>1.3682825895799655</v>
      </c>
      <c r="AM28" s="304">
        <v>1.3670416607202334</v>
      </c>
      <c r="AN28" s="304">
        <v>0.98638917398073134</v>
      </c>
    </row>
    <row r="29" spans="1:40" x14ac:dyDescent="0.2">
      <c r="A29" s="13" t="str">
        <f t="shared" si="58"/>
        <v>Elementary occupations</v>
      </c>
      <c r="B29" s="304">
        <f t="shared" si="60"/>
        <v>14.640121663781381</v>
      </c>
      <c r="C29" s="304">
        <f t="shared" si="61"/>
        <v>15.624522003615859</v>
      </c>
      <c r="D29" s="304">
        <f t="shared" si="62"/>
        <v>16.08195194627335</v>
      </c>
      <c r="E29" s="304"/>
      <c r="F29" s="304">
        <v>2.267896573988673E-4</v>
      </c>
      <c r="G29" s="304">
        <v>3.0281313463762909E-4</v>
      </c>
      <c r="H29" s="304">
        <v>4.084497465428363E-4</v>
      </c>
      <c r="I29" s="304"/>
      <c r="J29" s="304">
        <v>0.38948728527908888</v>
      </c>
      <c r="K29" s="304">
        <v>0.61955211262725707</v>
      </c>
      <c r="L29" s="304">
        <v>0.93672832529107974</v>
      </c>
      <c r="M29" s="304"/>
      <c r="N29" s="304">
        <v>1.4624090289058269</v>
      </c>
      <c r="O29" s="304">
        <v>2.0457857406046696</v>
      </c>
      <c r="P29" s="304">
        <v>2.4171655525800833</v>
      </c>
      <c r="Q29" s="306"/>
      <c r="R29" s="304">
        <v>0.53973425984025691</v>
      </c>
      <c r="S29" s="304">
        <v>0.59101840471565414</v>
      </c>
      <c r="T29" s="304">
        <v>0.59452062562334196</v>
      </c>
      <c r="U29" s="306"/>
      <c r="V29" s="304">
        <v>0.85020177702131028</v>
      </c>
      <c r="W29" s="304">
        <v>1.0443378957774911</v>
      </c>
      <c r="X29" s="304">
        <v>1.1429479195948979</v>
      </c>
      <c r="Y29" s="306"/>
      <c r="Z29" s="304">
        <v>3.6118699830285372</v>
      </c>
      <c r="AA29" s="304">
        <v>4.154331387884441</v>
      </c>
      <c r="AB29" s="304">
        <v>4.4273420207208432</v>
      </c>
      <c r="AC29" s="306"/>
      <c r="AD29" s="304">
        <v>3.5608988248312281</v>
      </c>
      <c r="AE29" s="304">
        <v>3.47981097041641</v>
      </c>
      <c r="AF29" s="304">
        <v>2.8293339602350622</v>
      </c>
      <c r="AG29" s="306"/>
      <c r="AH29" s="304">
        <v>2.4766134446608401</v>
      </c>
      <c r="AI29" s="304">
        <v>1.9481172444650563</v>
      </c>
      <c r="AJ29" s="304">
        <v>1.8194457073177173</v>
      </c>
      <c r="AK29" s="306"/>
      <c r="AL29" s="304">
        <v>1.7486802705568927</v>
      </c>
      <c r="AM29" s="304">
        <v>1.7412654339902438</v>
      </c>
      <c r="AN29" s="304">
        <v>1.9140593851637795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237.5010000003135</v>
      </c>
      <c r="C32" s="305">
        <f>SUM(C33:C41)</f>
        <v>225.78700000207954</v>
      </c>
      <c r="D32" s="305">
        <f>SUM(D33:D41)</f>
        <v>210.03700000107327</v>
      </c>
      <c r="E32" s="304"/>
      <c r="F32" s="305">
        <f>SUM(F33:F41)</f>
        <v>2.7921293481754526</v>
      </c>
      <c r="G32" s="305">
        <f>SUM(G33:G41)</f>
        <v>3.5133961740479873</v>
      </c>
      <c r="H32" s="305">
        <f>SUM(H33:H41)</f>
        <v>4.9624696283036425</v>
      </c>
      <c r="I32" s="304"/>
      <c r="J32" s="305">
        <f>SUM(J33:J41)</f>
        <v>16.472482356438316</v>
      </c>
      <c r="K32" s="305">
        <f>SUM(K33:K41)</f>
        <v>20.828988612683183</v>
      </c>
      <c r="L32" s="305">
        <f>SUM(L33:L41)</f>
        <v>29.35221529491211</v>
      </c>
      <c r="M32" s="304"/>
      <c r="N32" s="305">
        <f>SUM(N33:N41)</f>
        <v>35.780958976115322</v>
      </c>
      <c r="O32" s="305">
        <f>SUM(O33:O41)</f>
        <v>37.472509216626023</v>
      </c>
      <c r="P32" s="305">
        <f>SUM(P33:P41)</f>
        <v>38.572981974758896</v>
      </c>
      <c r="Q32" s="306"/>
      <c r="R32" s="305">
        <f>SUM(R33:R41)</f>
        <v>9.1970264575345944</v>
      </c>
      <c r="S32" s="305">
        <f>SUM(S33:S41)</f>
        <v>9.7375658105771272</v>
      </c>
      <c r="T32" s="305">
        <f>SUM(T33:T41)</f>
        <v>10.112645020451906</v>
      </c>
      <c r="U32" s="306"/>
      <c r="V32" s="305">
        <f>SUM(V33:V41)</f>
        <v>19.097234983452172</v>
      </c>
      <c r="W32" s="305">
        <f>SUM(W33:W41)</f>
        <v>19.695774248295294</v>
      </c>
      <c r="X32" s="305">
        <f>SUM(X33:X41)</f>
        <v>19.66479690599871</v>
      </c>
      <c r="Y32" s="306"/>
      <c r="Z32" s="305">
        <f>SUM(Z33:Z41)</f>
        <v>61.335327514010359</v>
      </c>
      <c r="AA32" s="305">
        <f>SUM(AA33:AA41)</f>
        <v>59.140783644210941</v>
      </c>
      <c r="AB32" s="305">
        <f>SUM(AB33:AB41)</f>
        <v>55.860035390054449</v>
      </c>
      <c r="AC32" s="306"/>
      <c r="AD32" s="305">
        <f>SUM(AD33:AD41)</f>
        <v>49.276391712313512</v>
      </c>
      <c r="AE32" s="305">
        <f>SUM(AE33:AE41)</f>
        <v>41.927591248073121</v>
      </c>
      <c r="AF32" s="305">
        <f>SUM(AF33:AF41)</f>
        <v>30.565215829598284</v>
      </c>
      <c r="AG32" s="306"/>
      <c r="AH32" s="305">
        <f>SUM(AH33:AH41)</f>
        <v>34.110754934558827</v>
      </c>
      <c r="AI32" s="305">
        <f>SUM(AI33:AI41)</f>
        <v>28.169508853177618</v>
      </c>
      <c r="AJ32" s="305">
        <f>SUM(AJ33:AJ41)</f>
        <v>17.009078142210075</v>
      </c>
      <c r="AK32" s="306"/>
      <c r="AL32" s="305">
        <f>SUM(AL33:AL41)</f>
        <v>9.4386937177149051</v>
      </c>
      <c r="AM32" s="305">
        <f>SUM(AM33:AM41)</f>
        <v>5.300882194388282</v>
      </c>
      <c r="AN32" s="305">
        <f>SUM(AN33:AN41)</f>
        <v>3.9375618147852434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32.460118431816561</v>
      </c>
      <c r="C33" s="304">
        <f t="shared" ref="C33:C41" si="64">SUM(G33,K33,O33,S33,W33,AA33,AE33,AI33,AM33)</f>
        <v>30.093506568946445</v>
      </c>
      <c r="D33" s="304">
        <f t="shared" ref="D33:D40" si="65">SUM(H33,L33,P33,T33,X33,AB33,AF33,AJ33,AN33)</f>
        <v>29.768692760620553</v>
      </c>
      <c r="E33" s="304"/>
      <c r="F33" s="304">
        <v>0.43685581174098864</v>
      </c>
      <c r="G33" s="304">
        <v>0.4830762208488884</v>
      </c>
      <c r="H33" s="304">
        <v>0.61034970944904909</v>
      </c>
      <c r="I33" s="304"/>
      <c r="J33" s="304">
        <v>3.3729805724060351</v>
      </c>
      <c r="K33" s="304">
        <v>4.0641454678820459</v>
      </c>
      <c r="L33" s="304">
        <v>5.522740260282692</v>
      </c>
      <c r="M33" s="304"/>
      <c r="N33" s="304">
        <v>8.3840473274663765</v>
      </c>
      <c r="O33" s="304">
        <v>8.3833532961674972</v>
      </c>
      <c r="P33" s="304">
        <v>8.5001783635180104</v>
      </c>
      <c r="Q33" s="306"/>
      <c r="R33" s="304">
        <v>1.9408263030854742</v>
      </c>
      <c r="S33" s="304">
        <v>1.8602053561806675</v>
      </c>
      <c r="T33" s="304">
        <v>1.8765458830104556</v>
      </c>
      <c r="U33" s="306"/>
      <c r="V33" s="304">
        <v>3.9875522058694082</v>
      </c>
      <c r="W33" s="304">
        <v>3.8491497955920266</v>
      </c>
      <c r="X33" s="304">
        <v>3.9164293225183453</v>
      </c>
      <c r="Y33" s="306"/>
      <c r="Z33" s="304">
        <v>6.2900870369974342</v>
      </c>
      <c r="AA33" s="304">
        <v>5.3440302913383357</v>
      </c>
      <c r="AB33" s="304">
        <v>4.8439810059251194</v>
      </c>
      <c r="AC33" s="306"/>
      <c r="AD33" s="304">
        <v>4.7356216649339125</v>
      </c>
      <c r="AE33" s="304">
        <v>3.5228662385586507</v>
      </c>
      <c r="AF33" s="304">
        <v>2.5575097726005844</v>
      </c>
      <c r="AG33" s="306"/>
      <c r="AH33" s="304">
        <v>2.6870662009910466</v>
      </c>
      <c r="AI33" s="304">
        <v>2.0105821438979894</v>
      </c>
      <c r="AJ33" s="304">
        <v>1.3420611287562514</v>
      </c>
      <c r="AK33" s="306"/>
      <c r="AL33" s="304">
        <v>0.62508130832588138</v>
      </c>
      <c r="AM33" s="304">
        <v>0.57609775848034617</v>
      </c>
      <c r="AN33" s="304">
        <v>0.59889731456004436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41.726434662833675</v>
      </c>
      <c r="C34" s="304">
        <f t="shared" si="64"/>
        <v>42.016293644305222</v>
      </c>
      <c r="D34" s="304">
        <f t="shared" si="65"/>
        <v>43.150924060737267</v>
      </c>
      <c r="E34" s="304"/>
      <c r="F34" s="304">
        <v>1.708414926255917</v>
      </c>
      <c r="G34" s="304">
        <v>2.2464026157365353</v>
      </c>
      <c r="H34" s="304">
        <v>3.2366688137969124</v>
      </c>
      <c r="I34" s="304"/>
      <c r="J34" s="304">
        <v>6.3707393501749561</v>
      </c>
      <c r="K34" s="304">
        <v>8.1211021890864785</v>
      </c>
      <c r="L34" s="304">
        <v>11.36376502716063</v>
      </c>
      <c r="M34" s="304"/>
      <c r="N34" s="304">
        <v>10.986725213730667</v>
      </c>
      <c r="O34" s="304">
        <v>11.134747712477093</v>
      </c>
      <c r="P34" s="304">
        <v>10.612052966307106</v>
      </c>
      <c r="Q34" s="306"/>
      <c r="R34" s="304">
        <v>1.3692965166100033</v>
      </c>
      <c r="S34" s="304">
        <v>1.3860113648644874</v>
      </c>
      <c r="T34" s="304">
        <v>1.3581394729363303</v>
      </c>
      <c r="U34" s="306"/>
      <c r="V34" s="304">
        <v>4.9625385186215194</v>
      </c>
      <c r="W34" s="304">
        <v>4.9079484181168009</v>
      </c>
      <c r="X34" s="304">
        <v>4.6660388740639132</v>
      </c>
      <c r="Y34" s="306"/>
      <c r="Z34" s="304">
        <v>8.621760328996265</v>
      </c>
      <c r="AA34" s="304">
        <v>7.8381824607569914</v>
      </c>
      <c r="AB34" s="304">
        <v>6.7573281010670652</v>
      </c>
      <c r="AC34" s="306"/>
      <c r="AD34" s="304">
        <v>4.2727205913415931</v>
      </c>
      <c r="AE34" s="304">
        <v>3.3347573393980121</v>
      </c>
      <c r="AF34" s="304">
        <v>2.1742539365330527</v>
      </c>
      <c r="AG34" s="306"/>
      <c r="AH34" s="304">
        <v>2.9006849171622879</v>
      </c>
      <c r="AI34" s="304">
        <v>2.5159337832973434</v>
      </c>
      <c r="AJ34" s="304">
        <v>2.4486436521094048</v>
      </c>
      <c r="AK34" s="306"/>
      <c r="AL34" s="304">
        <v>0.53355429994046111</v>
      </c>
      <c r="AM34" s="304">
        <v>0.53120776057148167</v>
      </c>
      <c r="AN34" s="304">
        <v>0.53403321676285187</v>
      </c>
    </row>
    <row r="35" spans="1:40" x14ac:dyDescent="0.2">
      <c r="A35" s="13" t="str">
        <f t="shared" si="63"/>
        <v>Associate professional occupations</v>
      </c>
      <c r="B35" s="304">
        <f t="shared" si="66"/>
        <v>29.312150339738366</v>
      </c>
      <c r="C35" s="304">
        <f t="shared" si="64"/>
        <v>25.928004649687917</v>
      </c>
      <c r="D35" s="304">
        <f t="shared" si="65"/>
        <v>24.658016249674965</v>
      </c>
      <c r="E35" s="304"/>
      <c r="F35" s="304">
        <v>0.33907672306492842</v>
      </c>
      <c r="G35" s="304">
        <v>0.39293317891091462</v>
      </c>
      <c r="H35" s="304">
        <v>0.51907663882875277</v>
      </c>
      <c r="I35" s="304"/>
      <c r="J35" s="304">
        <v>2.9896228881490776</v>
      </c>
      <c r="K35" s="304">
        <v>3.2974996164079329</v>
      </c>
      <c r="L35" s="304">
        <v>4.2344430836275633</v>
      </c>
      <c r="M35" s="304"/>
      <c r="N35" s="304">
        <v>6.7683564432923955</v>
      </c>
      <c r="O35" s="304">
        <v>6.5567074813940005</v>
      </c>
      <c r="P35" s="304">
        <v>6.2931101606396993</v>
      </c>
      <c r="Q35" s="306"/>
      <c r="R35" s="304">
        <v>1.9814268503520649</v>
      </c>
      <c r="S35" s="304">
        <v>2.0126680548107569</v>
      </c>
      <c r="T35" s="304">
        <v>2.1116588746129983</v>
      </c>
      <c r="U35" s="306"/>
      <c r="V35" s="304">
        <v>2.6951067802709066</v>
      </c>
      <c r="W35" s="304">
        <v>2.4474539845577419</v>
      </c>
      <c r="X35" s="304">
        <v>2.289512102002583</v>
      </c>
      <c r="Y35" s="306"/>
      <c r="Z35" s="304">
        <v>7.2327385467939074</v>
      </c>
      <c r="AA35" s="304">
        <v>6.0704956836085193</v>
      </c>
      <c r="AB35" s="304">
        <v>5.4121414477143377</v>
      </c>
      <c r="AC35" s="306"/>
      <c r="AD35" s="304">
        <v>4.5447471356134832</v>
      </c>
      <c r="AE35" s="304">
        <v>3.2707651112871403</v>
      </c>
      <c r="AF35" s="304">
        <v>2.3416361930914471</v>
      </c>
      <c r="AG35" s="306"/>
      <c r="AH35" s="304">
        <v>2.435276606737129</v>
      </c>
      <c r="AI35" s="304">
        <v>1.6112919770530012</v>
      </c>
      <c r="AJ35" s="304">
        <v>1.2272170473113762</v>
      </c>
      <c r="AK35" s="306"/>
      <c r="AL35" s="304">
        <v>0.32579836546447261</v>
      </c>
      <c r="AM35" s="304">
        <v>0.26818956165791163</v>
      </c>
      <c r="AN35" s="304">
        <v>0.22922070184621046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21.348778339913135</v>
      </c>
      <c r="C36" s="304">
        <f t="shared" si="64"/>
        <v>18.827602608017738</v>
      </c>
      <c r="D36" s="304">
        <f t="shared" si="65"/>
        <v>16.894606097836334</v>
      </c>
      <c r="E36" s="304"/>
      <c r="F36" s="304">
        <v>7.0159126475547492E-2</v>
      </c>
      <c r="G36" s="304">
        <v>8.7864491449085938E-2</v>
      </c>
      <c r="H36" s="304">
        <v>0.14417760576583433</v>
      </c>
      <c r="I36" s="304"/>
      <c r="J36" s="304">
        <v>1.0104849225232677</v>
      </c>
      <c r="K36" s="304">
        <v>1.1976366031672843</v>
      </c>
      <c r="L36" s="304">
        <v>1.6623596804141683</v>
      </c>
      <c r="M36" s="304"/>
      <c r="N36" s="304">
        <v>3.4074948848253808</v>
      </c>
      <c r="O36" s="304">
        <v>3.6291449389698882</v>
      </c>
      <c r="P36" s="304">
        <v>4.0262322203616243</v>
      </c>
      <c r="Q36" s="306"/>
      <c r="R36" s="304">
        <v>1.2034161268916228</v>
      </c>
      <c r="S36" s="304">
        <v>1.231701089370441</v>
      </c>
      <c r="T36" s="304">
        <v>1.2836802785715624</v>
      </c>
      <c r="U36" s="306"/>
      <c r="V36" s="304">
        <v>1.6802165646355183</v>
      </c>
      <c r="W36" s="304">
        <v>1.6723191833612223</v>
      </c>
      <c r="X36" s="304">
        <v>1.6552730321349753</v>
      </c>
      <c r="Y36" s="306"/>
      <c r="Z36" s="304">
        <v>5.2775472914329171</v>
      </c>
      <c r="AA36" s="304">
        <v>4.8065304764785415</v>
      </c>
      <c r="AB36" s="304">
        <v>4.4753347688969658</v>
      </c>
      <c r="AC36" s="306"/>
      <c r="AD36" s="304">
        <v>5.7846523686110514</v>
      </c>
      <c r="AE36" s="304">
        <v>4.5192296611327976</v>
      </c>
      <c r="AF36" s="304">
        <v>3.1416563628465881</v>
      </c>
      <c r="AG36" s="306"/>
      <c r="AH36" s="304">
        <v>2.6293924038473153</v>
      </c>
      <c r="AI36" s="304">
        <v>1.4850751691003028</v>
      </c>
      <c r="AJ36" s="304">
        <v>0.41325712131385345</v>
      </c>
      <c r="AK36" s="306"/>
      <c r="AL36" s="304">
        <v>0.28541465067051258</v>
      </c>
      <c r="AM36" s="304">
        <v>0.1981009949881723</v>
      </c>
      <c r="AN36" s="304">
        <v>9.2635027530761346E-2</v>
      </c>
    </row>
    <row r="37" spans="1:40" x14ac:dyDescent="0.2">
      <c r="A37" s="13" t="str">
        <f t="shared" si="63"/>
        <v>Skilled trades occupations</v>
      </c>
      <c r="B37" s="304">
        <f t="shared" si="66"/>
        <v>52.365626307039115</v>
      </c>
      <c r="C37" s="304">
        <f t="shared" si="64"/>
        <v>48.704364467601422</v>
      </c>
      <c r="D37" s="304">
        <f t="shared" si="65"/>
        <v>42.731686904735305</v>
      </c>
      <c r="E37" s="304"/>
      <c r="F37" s="304">
        <v>6.4400317297017728E-2</v>
      </c>
      <c r="G37" s="304">
        <v>9.3545793892333598E-2</v>
      </c>
      <c r="H37" s="304">
        <v>0.1456203461534043</v>
      </c>
      <c r="I37" s="304"/>
      <c r="J37" s="304">
        <v>1.2974140027074665</v>
      </c>
      <c r="K37" s="304">
        <v>2.0664825701402032</v>
      </c>
      <c r="L37" s="304">
        <v>3.5048758765293435</v>
      </c>
      <c r="M37" s="304"/>
      <c r="N37" s="304">
        <v>2.6366710541794873</v>
      </c>
      <c r="O37" s="304">
        <v>3.3843824924709947</v>
      </c>
      <c r="P37" s="304">
        <v>4.1688275110339958</v>
      </c>
      <c r="Q37" s="306"/>
      <c r="R37" s="304">
        <v>1.101843713846923</v>
      </c>
      <c r="S37" s="304">
        <v>1.2961480639393737</v>
      </c>
      <c r="T37" s="304">
        <v>1.2862180178432008</v>
      </c>
      <c r="U37" s="306"/>
      <c r="V37" s="304">
        <v>3.5417680600664574</v>
      </c>
      <c r="W37" s="304">
        <v>3.8706235413674857</v>
      </c>
      <c r="X37" s="304">
        <v>3.9146212461660514</v>
      </c>
      <c r="Y37" s="306"/>
      <c r="Z37" s="304">
        <v>20.8277832987315</v>
      </c>
      <c r="AA37" s="304">
        <v>20.100389698024003</v>
      </c>
      <c r="AB37" s="304">
        <v>18.962869957515334</v>
      </c>
      <c r="AC37" s="306"/>
      <c r="AD37" s="304">
        <v>12.456355143035591</v>
      </c>
      <c r="AE37" s="304">
        <v>10.191139152659952</v>
      </c>
      <c r="AF37" s="304">
        <v>6.4927345416732756</v>
      </c>
      <c r="AG37" s="306"/>
      <c r="AH37" s="304">
        <v>8.0060237414192379</v>
      </c>
      <c r="AI37" s="304">
        <v>6.6599174250266477</v>
      </c>
      <c r="AJ37" s="304">
        <v>3.6941603477483014</v>
      </c>
      <c r="AK37" s="306"/>
      <c r="AL37" s="304">
        <v>2.4333669757554257</v>
      </c>
      <c r="AM37" s="304">
        <v>1.0417357300804355</v>
      </c>
      <c r="AN37" s="304">
        <v>0.56175906007240273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3.1825439533076763</v>
      </c>
      <c r="C38" s="304">
        <f t="shared" si="64"/>
        <v>3.3894655452445814</v>
      </c>
      <c r="D38" s="304">
        <f t="shared" si="65"/>
        <v>3.4113070207193759</v>
      </c>
      <c r="E38" s="304"/>
      <c r="F38" s="304">
        <v>8.6444877752097457E-2</v>
      </c>
      <c r="G38" s="304">
        <v>0.10159719385656892</v>
      </c>
      <c r="H38" s="304">
        <v>0.15733218960023465</v>
      </c>
      <c r="I38" s="304"/>
      <c r="J38" s="304">
        <v>4.6693421910878725E-2</v>
      </c>
      <c r="K38" s="304">
        <v>5.3830676513012404E-2</v>
      </c>
      <c r="L38" s="304">
        <v>6.1928204861324415E-2</v>
      </c>
      <c r="M38" s="304"/>
      <c r="N38" s="304">
        <v>0.38323120972298663</v>
      </c>
      <c r="O38" s="304">
        <v>0.40701919434067735</v>
      </c>
      <c r="P38" s="304">
        <v>0.40502748140795419</v>
      </c>
      <c r="Q38" s="306"/>
      <c r="R38" s="304">
        <v>8.7839692934323726E-2</v>
      </c>
      <c r="S38" s="304">
        <v>8.7878473023963344E-2</v>
      </c>
      <c r="T38" s="304">
        <v>8.4503990399036791E-2</v>
      </c>
      <c r="U38" s="306"/>
      <c r="V38" s="304">
        <v>0.20083294881763011</v>
      </c>
      <c r="W38" s="304">
        <v>0.23879384095289222</v>
      </c>
      <c r="X38" s="304">
        <v>0.25516783229901496</v>
      </c>
      <c r="Y38" s="306"/>
      <c r="Z38" s="304">
        <v>0.50537635901328004</v>
      </c>
      <c r="AA38" s="304">
        <v>0.47404789666263641</v>
      </c>
      <c r="AB38" s="304">
        <v>0.42032750855085144</v>
      </c>
      <c r="AC38" s="306"/>
      <c r="AD38" s="304">
        <v>0.69589029070301522</v>
      </c>
      <c r="AE38" s="304">
        <v>0.6221800300069823</v>
      </c>
      <c r="AF38" s="304">
        <v>0.4687156644043175</v>
      </c>
      <c r="AG38" s="306"/>
      <c r="AH38" s="304">
        <v>0.99380808814613786</v>
      </c>
      <c r="AI38" s="304">
        <v>1.1401213693474099</v>
      </c>
      <c r="AJ38" s="304">
        <v>1.2611551256917315</v>
      </c>
      <c r="AK38" s="306"/>
      <c r="AL38" s="304">
        <v>0.18242706430732616</v>
      </c>
      <c r="AM38" s="304">
        <v>0.26399687054043858</v>
      </c>
      <c r="AN38" s="304">
        <v>0.29714902350491046</v>
      </c>
    </row>
    <row r="39" spans="1:40" x14ac:dyDescent="0.2">
      <c r="A39" s="13" t="str">
        <f t="shared" si="63"/>
        <v>Sales and customer service occupations</v>
      </c>
      <c r="B39" s="304">
        <f t="shared" si="66"/>
        <v>9.0748093896278128</v>
      </c>
      <c r="C39" s="304">
        <f t="shared" si="64"/>
        <v>8.9265727061891269</v>
      </c>
      <c r="D39" s="304">
        <f t="shared" si="65"/>
        <v>8.3891856200083055</v>
      </c>
      <c r="E39" s="304"/>
      <c r="F39" s="304">
        <v>4.7181913558898551E-2</v>
      </c>
      <c r="G39" s="304">
        <v>5.4026616251241021E-2</v>
      </c>
      <c r="H39" s="304">
        <v>6.8349510441489514E-2</v>
      </c>
      <c r="I39" s="304"/>
      <c r="J39" s="304">
        <v>0.6024962761585656</v>
      </c>
      <c r="K39" s="304">
        <v>0.78585926815689966</v>
      </c>
      <c r="L39" s="304">
        <v>1.0027019853896515</v>
      </c>
      <c r="M39" s="304"/>
      <c r="N39" s="304">
        <v>1.4555465215493928</v>
      </c>
      <c r="O39" s="304">
        <v>1.6941352735955795</v>
      </c>
      <c r="P39" s="304">
        <v>1.8580956193623515</v>
      </c>
      <c r="Q39" s="306"/>
      <c r="R39" s="304">
        <v>0.47994764422599778</v>
      </c>
      <c r="S39" s="304">
        <v>0.56377827489775412</v>
      </c>
      <c r="T39" s="304">
        <v>0.62173186197263286</v>
      </c>
      <c r="U39" s="306"/>
      <c r="V39" s="304">
        <v>0.54534915155728547</v>
      </c>
      <c r="W39" s="304">
        <v>0.64978952355043407</v>
      </c>
      <c r="X39" s="304">
        <v>0.69368640222913958</v>
      </c>
      <c r="Y39" s="306"/>
      <c r="Z39" s="304">
        <v>2.0783971875817429</v>
      </c>
      <c r="AA39" s="304">
        <v>1.9777394978959584</v>
      </c>
      <c r="AB39" s="304">
        <v>1.7266450840489183</v>
      </c>
      <c r="AC39" s="306"/>
      <c r="AD39" s="304">
        <v>2.3551841987510072</v>
      </c>
      <c r="AE39" s="304">
        <v>2.0370203553449837</v>
      </c>
      <c r="AF39" s="304">
        <v>1.6807109939464395</v>
      </c>
      <c r="AG39" s="306"/>
      <c r="AH39" s="304">
        <v>1.0335381879989824</v>
      </c>
      <c r="AI39" s="304">
        <v>0.73724745137838099</v>
      </c>
      <c r="AJ39" s="304">
        <v>0.37128424473355437</v>
      </c>
      <c r="AK39" s="306"/>
      <c r="AL39" s="304">
        <v>0.47716830824594036</v>
      </c>
      <c r="AM39" s="304">
        <v>0.42697644511789357</v>
      </c>
      <c r="AN39" s="304">
        <v>0.36597991788412809</v>
      </c>
    </row>
    <row r="40" spans="1:40" x14ac:dyDescent="0.2">
      <c r="A40" s="13" t="str">
        <f t="shared" si="63"/>
        <v>Process, plant and machine operatives</v>
      </c>
      <c r="B40" s="304">
        <f t="shared" si="66"/>
        <v>34.065453201024198</v>
      </c>
      <c r="C40" s="304">
        <f t="shared" si="64"/>
        <v>36.206101480473514</v>
      </c>
      <c r="D40" s="304">
        <f t="shared" si="65"/>
        <v>31.665580343270292</v>
      </c>
      <c r="E40" s="304"/>
      <c r="F40" s="304">
        <v>7.6014472258161209E-3</v>
      </c>
      <c r="G40" s="304">
        <v>1.1503056411202438E-2</v>
      </c>
      <c r="H40" s="304">
        <v>1.5661977178377806E-2</v>
      </c>
      <c r="I40" s="304"/>
      <c r="J40" s="304">
        <v>0.60715768281226201</v>
      </c>
      <c r="K40" s="304">
        <v>1.0031912424903668</v>
      </c>
      <c r="L40" s="304">
        <v>1.6864485652147567</v>
      </c>
      <c r="M40" s="304"/>
      <c r="N40" s="304">
        <v>1.1776611578507648</v>
      </c>
      <c r="O40" s="304">
        <v>1.6338234938550382</v>
      </c>
      <c r="P40" s="304">
        <v>2.081048442652158</v>
      </c>
      <c r="Q40" s="306"/>
      <c r="R40" s="305">
        <v>0.64536527559584533</v>
      </c>
      <c r="S40" s="305">
        <v>0.8833360606182723</v>
      </c>
      <c r="T40" s="305">
        <v>1.073695014428556</v>
      </c>
      <c r="U40" s="306"/>
      <c r="V40" s="305">
        <v>1.1772577564134254</v>
      </c>
      <c r="W40" s="305">
        <v>1.7344658636062402</v>
      </c>
      <c r="X40" s="305">
        <v>1.9718631648971154</v>
      </c>
      <c r="Y40" s="306"/>
      <c r="Z40" s="305">
        <v>8.4291111936455323</v>
      </c>
      <c r="AA40" s="305">
        <v>10.695080007391107</v>
      </c>
      <c r="AB40" s="305">
        <v>11.668860587512446</v>
      </c>
      <c r="AC40" s="306"/>
      <c r="AD40" s="305">
        <v>10.737493727368244</v>
      </c>
      <c r="AE40" s="305">
        <v>11.580323338802023</v>
      </c>
      <c r="AF40" s="305">
        <v>9.9137649891504953</v>
      </c>
      <c r="AG40" s="306"/>
      <c r="AH40" s="305">
        <v>8.1935398121545795</v>
      </c>
      <c r="AI40" s="305">
        <v>7.545653951692926</v>
      </c>
      <c r="AJ40" s="305">
        <v>2.4824223456740966</v>
      </c>
      <c r="AK40" s="306"/>
      <c r="AL40" s="305">
        <v>3.0902651479577257</v>
      </c>
      <c r="AM40" s="305">
        <v>1.1187244656063344</v>
      </c>
      <c r="AN40" s="305">
        <v>0.77181525656229133</v>
      </c>
    </row>
    <row r="41" spans="1:40" x14ac:dyDescent="0.2">
      <c r="A41" s="38" t="str">
        <f t="shared" si="63"/>
        <v>Elementary occupations</v>
      </c>
      <c r="B41" s="307">
        <f t="shared" si="66"/>
        <v>13.965085375012944</v>
      </c>
      <c r="C41" s="307">
        <f t="shared" si="64"/>
        <v>11.695088331613585</v>
      </c>
      <c r="D41" s="307">
        <f>SUM(H41,L41,P41,T41,X41,AB41,AF41,AJ41,AN41)</f>
        <v>9.3670009434709058</v>
      </c>
      <c r="E41" s="307"/>
      <c r="F41" s="307">
        <v>3.199420480424181E-2</v>
      </c>
      <c r="G41" s="307">
        <v>4.2447006691216566E-2</v>
      </c>
      <c r="H41" s="307">
        <v>6.5232837089588006E-2</v>
      </c>
      <c r="I41" s="307"/>
      <c r="J41" s="307">
        <v>0.17489323959580599</v>
      </c>
      <c r="K41" s="307">
        <v>0.23924097883895773</v>
      </c>
      <c r="L41" s="307">
        <v>0.31295261143197634</v>
      </c>
      <c r="M41" s="307"/>
      <c r="N41" s="307">
        <v>0.58122516349786768</v>
      </c>
      <c r="O41" s="307">
        <v>0.6491953333552527</v>
      </c>
      <c r="P41" s="307">
        <v>0.62840920947599055</v>
      </c>
      <c r="Q41" s="308"/>
      <c r="R41" s="307">
        <v>0.38706433399233908</v>
      </c>
      <c r="S41" s="307">
        <v>0.41583907287141131</v>
      </c>
      <c r="T41" s="307">
        <v>0.41647162667713411</v>
      </c>
      <c r="U41" s="308"/>
      <c r="V41" s="307">
        <v>0.30661299720001972</v>
      </c>
      <c r="W41" s="307">
        <v>0.32523009719045204</v>
      </c>
      <c r="X41" s="307">
        <v>0.3022049296875719</v>
      </c>
      <c r="Y41" s="308"/>
      <c r="Z41" s="307">
        <v>2.0725262708177832</v>
      </c>
      <c r="AA41" s="307">
        <v>1.8342876320548367</v>
      </c>
      <c r="AB41" s="307">
        <v>1.5925469288234155</v>
      </c>
      <c r="AC41" s="308"/>
      <c r="AD41" s="307">
        <v>3.693726591955615</v>
      </c>
      <c r="AE41" s="307">
        <v>2.8493100208825735</v>
      </c>
      <c r="AF41" s="307">
        <v>1.7942333753520812</v>
      </c>
      <c r="AG41" s="308"/>
      <c r="AH41" s="307">
        <v>5.2314249761021108</v>
      </c>
      <c r="AI41" s="307">
        <v>4.463685582383615</v>
      </c>
      <c r="AJ41" s="307">
        <v>3.7688771288715062</v>
      </c>
      <c r="AK41" s="308"/>
      <c r="AL41" s="307">
        <v>1.4856175970471597</v>
      </c>
      <c r="AM41" s="307">
        <v>0.87585260734526871</v>
      </c>
      <c r="AN41" s="307">
        <v>0.48607229606164293</v>
      </c>
    </row>
    <row r="42" spans="1:40" x14ac:dyDescent="0.2">
      <c r="B42" s="31"/>
      <c r="C42" s="31"/>
      <c r="D42" s="31"/>
    </row>
    <row r="43" spans="1:40" ht="15.75" x14ac:dyDescent="0.25">
      <c r="A43" s="18" t="str">
        <f>CONCATENATE(A1," (Continued)")</f>
        <v>Basic Table 1  Employment by Industry Sector, Occupation Group and Qualification, 2020-2035, South West (Continued)</v>
      </c>
    </row>
    <row r="44" spans="1:40" ht="12.75" customHeight="1" x14ac:dyDescent="0.25">
      <c r="A44" s="18"/>
    </row>
    <row r="45" spans="1:40" ht="12.75" customHeight="1" x14ac:dyDescent="0.25">
      <c r="A45" s="18"/>
    </row>
    <row r="46" spans="1:40" ht="26.25" customHeight="1" x14ac:dyDescent="0.2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79" t="str">
        <f>N4</f>
        <v>RQF6 First degree</v>
      </c>
      <c r="O46" s="379"/>
      <c r="P46" s="379"/>
      <c r="Q46" s="77"/>
      <c r="R46" s="379" t="str">
        <f>R4</f>
        <v>RQF5 Foundation degree;Nursing;Teaching</v>
      </c>
      <c r="S46" s="379"/>
      <c r="T46" s="379"/>
      <c r="U46" s="77"/>
      <c r="V46" s="379" t="str">
        <f>V4</f>
        <v>RQF4 HE below degree level</v>
      </c>
      <c r="W46" s="379"/>
      <c r="X46" s="379"/>
      <c r="Y46" s="77"/>
      <c r="Z46" s="379" t="str">
        <f>Z4</f>
        <v>RQF3 A level &amp; equivalent</v>
      </c>
      <c r="AA46" s="379"/>
      <c r="AB46" s="379"/>
      <c r="AC46" s="77"/>
      <c r="AD46" s="379" t="str">
        <f>AD4</f>
        <v>RQF2 GCSE(A-C) &amp; equivalent</v>
      </c>
      <c r="AE46" s="379"/>
      <c r="AF46" s="379"/>
      <c r="AG46" s="77"/>
      <c r="AH46" s="379" t="str">
        <f>AH4</f>
        <v>RQF1 GCSE(below grade C) &amp; equivalent</v>
      </c>
      <c r="AI46" s="379"/>
      <c r="AJ46" s="379"/>
      <c r="AK46" s="77"/>
      <c r="AL46" s="379" t="str">
        <f>AL4</f>
        <v>No Qualification</v>
      </c>
      <c r="AM46" s="379"/>
      <c r="AN46" s="379"/>
    </row>
    <row r="47" spans="1:40" x14ac:dyDescent="0.2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2">
      <c r="B48" s="31"/>
      <c r="C48" s="31"/>
      <c r="D48" s="31"/>
    </row>
    <row r="49" spans="1:40" x14ac:dyDescent="0.2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2">
      <c r="A50" s="13" t="str">
        <f t="shared" ref="A50:A59" si="67">A8</f>
        <v>All occupations</v>
      </c>
      <c r="B50" s="305">
        <f>SUM(B51:B59)</f>
        <v>224.53699999893038</v>
      </c>
      <c r="C50" s="305">
        <f>SUM(C51:C59)</f>
        <v>243.56499999355373</v>
      </c>
      <c r="D50" s="305">
        <f>SUM(D51:D59)</f>
        <v>269.70699999639919</v>
      </c>
      <c r="E50" s="304"/>
      <c r="F50" s="305">
        <f>SUM(F51:F59)</f>
        <v>0.71105970512858618</v>
      </c>
      <c r="G50" s="305">
        <f>SUM(G51:G59)</f>
        <v>1.0796461768183572</v>
      </c>
      <c r="H50" s="305">
        <f>SUM(H51:H59)</f>
        <v>1.8626361886695106</v>
      </c>
      <c r="I50" s="304"/>
      <c r="J50" s="305">
        <f>SUM(J51:J59)</f>
        <v>11.243890540502639</v>
      </c>
      <c r="K50" s="305">
        <f>SUM(K51:K59)</f>
        <v>17.019915998423315</v>
      </c>
      <c r="L50" s="305">
        <f>SUM(L51:L59)</f>
        <v>28.75258524485902</v>
      </c>
      <c r="M50" s="304"/>
      <c r="N50" s="305">
        <f>SUM(N51:N59)</f>
        <v>19.880078005260248</v>
      </c>
      <c r="O50" s="305">
        <f>SUM(O51:O59)</f>
        <v>23.829822912951705</v>
      </c>
      <c r="P50" s="305">
        <f>SUM(P51:P59)</f>
        <v>29.039520769070645</v>
      </c>
      <c r="Q50" s="304"/>
      <c r="R50" s="305">
        <f>SUM(R51:R59)</f>
        <v>6.6120000615625392</v>
      </c>
      <c r="S50" s="305">
        <f>SUM(S51:S59)</f>
        <v>7.9480054985833632</v>
      </c>
      <c r="T50" s="305">
        <f>SUM(T51:T59)</f>
        <v>10.132363471322787</v>
      </c>
      <c r="U50" s="304"/>
      <c r="V50" s="305">
        <f>SUM(V51:V59)</f>
        <v>14.052059662498264</v>
      </c>
      <c r="W50" s="305">
        <f>SUM(W51:W59)</f>
        <v>16.456775493199309</v>
      </c>
      <c r="X50" s="305">
        <f>SUM(X51:X59)</f>
        <v>19.698232964069621</v>
      </c>
      <c r="Y50" s="304"/>
      <c r="Z50" s="305">
        <f>SUM(Z51:Z59)</f>
        <v>71.791458808856376</v>
      </c>
      <c r="AA50" s="305">
        <f>SUM(AA51:AA59)</f>
        <v>79.589443883314431</v>
      </c>
      <c r="AB50" s="305">
        <f>SUM(AB51:AB59)</f>
        <v>90.099897893996385</v>
      </c>
      <c r="AC50" s="304"/>
      <c r="AD50" s="305">
        <f>SUM(AD51:AD59)</f>
        <v>55.06794157930301</v>
      </c>
      <c r="AE50" s="305">
        <f>SUM(AE51:AE59)</f>
        <v>55.690230070110736</v>
      </c>
      <c r="AF50" s="305">
        <f>SUM(AF51:AF59)</f>
        <v>54.457717559532057</v>
      </c>
      <c r="AG50" s="304"/>
      <c r="AH50" s="305">
        <f>SUM(AH51:AH59)</f>
        <v>34.057049222685798</v>
      </c>
      <c r="AI50" s="305">
        <f>SUM(AI51:AI59)</f>
        <v>35.082505798988883</v>
      </c>
      <c r="AJ50" s="305">
        <f>SUM(AJ51:AJ59)</f>
        <v>33.013927478369901</v>
      </c>
      <c r="AK50" s="304"/>
      <c r="AL50" s="305">
        <f>SUM(AL51:AL59)</f>
        <v>11.121462413132926</v>
      </c>
      <c r="AM50" s="305">
        <f>SUM(AM51:AM59)</f>
        <v>6.8686541611636125</v>
      </c>
      <c r="AN50" s="305">
        <f>SUM(AN51:AN59)</f>
        <v>2.6501184265093047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26.615528544017337</v>
      </c>
      <c r="C51" s="304">
        <f t="shared" ref="C51:D51" si="68">SUM(G51,K51,O51,S51,W51,AA51,AE51,AI51,AM51)</f>
        <v>27.033148865681632</v>
      </c>
      <c r="D51" s="304">
        <f t="shared" si="68"/>
        <v>32.629094690589831</v>
      </c>
      <c r="E51" s="304"/>
      <c r="F51" s="304">
        <v>0.12221477252728784</v>
      </c>
      <c r="G51" s="304">
        <v>0.20096947335999907</v>
      </c>
      <c r="H51" s="304">
        <v>0.35719831591799506</v>
      </c>
      <c r="I51" s="304"/>
      <c r="J51" s="304">
        <v>2.6554090088040057</v>
      </c>
      <c r="K51" s="304">
        <v>3.8107827089701156</v>
      </c>
      <c r="L51" s="304">
        <v>6.8411246087945514</v>
      </c>
      <c r="M51" s="304"/>
      <c r="N51" s="304">
        <v>4.8347849499652522</v>
      </c>
      <c r="O51" s="304">
        <v>5.4164707454404981</v>
      </c>
      <c r="P51" s="304">
        <v>6.583296381745197</v>
      </c>
      <c r="Q51" s="304"/>
      <c r="R51" s="304">
        <v>1.1690133671300802</v>
      </c>
      <c r="S51" s="304">
        <v>1.1561511161426752</v>
      </c>
      <c r="T51" s="304">
        <v>1.1810255265342078</v>
      </c>
      <c r="U51" s="304"/>
      <c r="V51" s="304">
        <v>2.6288654010079249</v>
      </c>
      <c r="W51" s="304">
        <v>2.7234402976060696</v>
      </c>
      <c r="X51" s="304">
        <v>3.1729805087112317</v>
      </c>
      <c r="Y51" s="304"/>
      <c r="Z51" s="304">
        <v>7.2305804547441035</v>
      </c>
      <c r="AA51" s="304">
        <v>6.8061626539480722</v>
      </c>
      <c r="AB51" s="304">
        <v>8.1646039611312933</v>
      </c>
      <c r="AC51" s="304"/>
      <c r="AD51" s="304">
        <v>4.3971622816580531</v>
      </c>
      <c r="AE51" s="304">
        <v>3.6178433823906753</v>
      </c>
      <c r="AF51" s="304">
        <v>3.3209224425598354</v>
      </c>
      <c r="AG51" s="304"/>
      <c r="AH51" s="304">
        <v>2.7626764581663794</v>
      </c>
      <c r="AI51" s="304">
        <v>2.5476192245933587</v>
      </c>
      <c r="AJ51" s="304">
        <v>2.3596265706777677</v>
      </c>
      <c r="AK51" s="304"/>
      <c r="AL51" s="304">
        <v>0.81482185001424989</v>
      </c>
      <c r="AM51" s="304">
        <v>0.75370926323017196</v>
      </c>
      <c r="AN51" s="304">
        <v>0.64831637451775592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32.168397255792627</v>
      </c>
      <c r="C52" s="304">
        <f t="shared" ref="C52:C59" si="70">SUM(G52,K52,O52,S52,W52,AA52,AE52,AI52,AM52)</f>
        <v>36.591891386871843</v>
      </c>
      <c r="D52" s="304">
        <f t="shared" ref="D52:D59" si="71">SUM(H52,L52,P52,T52,X52,AB52,AF52,AJ52,AN52)</f>
        <v>45.219334170319861</v>
      </c>
      <c r="E52" s="304"/>
      <c r="F52" s="304">
        <v>0.33573693205728689</v>
      </c>
      <c r="G52" s="304">
        <v>0.47301968239414216</v>
      </c>
      <c r="H52" s="304">
        <v>0.72459992683449559</v>
      </c>
      <c r="I52" s="304"/>
      <c r="J52" s="304">
        <v>5.0930372853556971</v>
      </c>
      <c r="K52" s="304">
        <v>7.7148606019327399</v>
      </c>
      <c r="L52" s="304">
        <v>12.778061785311253</v>
      </c>
      <c r="M52" s="304"/>
      <c r="N52" s="304">
        <v>6.4377181348993791</v>
      </c>
      <c r="O52" s="304">
        <v>7.3042817964921998</v>
      </c>
      <c r="P52" s="304">
        <v>7.9631167638172649</v>
      </c>
      <c r="Q52" s="304"/>
      <c r="R52" s="304">
        <v>0.77066436326419341</v>
      </c>
      <c r="S52" s="304">
        <v>0.70622540833022074</v>
      </c>
      <c r="T52" s="304">
        <v>0.84292410086144032</v>
      </c>
      <c r="U52" s="304"/>
      <c r="V52" s="304">
        <v>2.4449501697544949</v>
      </c>
      <c r="W52" s="304">
        <v>2.2118445755660705</v>
      </c>
      <c r="X52" s="304">
        <v>1.5594098703006467</v>
      </c>
      <c r="Y52" s="304"/>
      <c r="Z52" s="304">
        <v>9.2832508851381057</v>
      </c>
      <c r="AA52" s="304">
        <v>10.578933808634261</v>
      </c>
      <c r="AB52" s="304">
        <v>13.960156465176546</v>
      </c>
      <c r="AC52" s="304"/>
      <c r="AD52" s="304">
        <v>4.9991511811916745</v>
      </c>
      <c r="AE52" s="304">
        <v>4.8214238566639622</v>
      </c>
      <c r="AF52" s="304">
        <v>4.9046029161248441</v>
      </c>
      <c r="AG52" s="304"/>
      <c r="AH52" s="304">
        <v>2.1242431537227744</v>
      </c>
      <c r="AI52" s="304">
        <v>2.1901674499225989</v>
      </c>
      <c r="AJ52" s="304">
        <v>2.0857550655643471</v>
      </c>
      <c r="AK52" s="304"/>
      <c r="AL52" s="304">
        <v>0.67964515040901952</v>
      </c>
      <c r="AM52" s="304">
        <v>0.59113420693565077</v>
      </c>
      <c r="AN52" s="304">
        <v>0.40070727632901776</v>
      </c>
    </row>
    <row r="53" spans="1:40" x14ac:dyDescent="0.2">
      <c r="A53" s="13" t="str">
        <f t="shared" si="67"/>
        <v>Associate professional occupations</v>
      </c>
      <c r="B53" s="304">
        <f t="shared" si="69"/>
        <v>16.921950940671415</v>
      </c>
      <c r="C53" s="304">
        <f t="shared" si="70"/>
        <v>16.65311418757841</v>
      </c>
      <c r="D53" s="304">
        <f t="shared" si="71"/>
        <v>19.488054145798831</v>
      </c>
      <c r="E53" s="304"/>
      <c r="F53" s="304">
        <v>3.2199381221120787E-2</v>
      </c>
      <c r="G53" s="304">
        <v>4.7951234024994294E-2</v>
      </c>
      <c r="H53" s="304">
        <v>8.9612311592060359E-2</v>
      </c>
      <c r="I53" s="304"/>
      <c r="J53" s="304">
        <v>1.4472817988736646</v>
      </c>
      <c r="K53" s="304">
        <v>2.0579182155840439</v>
      </c>
      <c r="L53" s="304">
        <v>3.5106388446910204</v>
      </c>
      <c r="M53" s="304"/>
      <c r="N53" s="304">
        <v>2.5761472105111194</v>
      </c>
      <c r="O53" s="304">
        <v>2.7971490519918487</v>
      </c>
      <c r="P53" s="304">
        <v>3.2565168167658975</v>
      </c>
      <c r="Q53" s="304"/>
      <c r="R53" s="304">
        <v>1.1306383199916914</v>
      </c>
      <c r="S53" s="304">
        <v>1.3252947837963316</v>
      </c>
      <c r="T53" s="304">
        <v>1.7273018484266349</v>
      </c>
      <c r="U53" s="304"/>
      <c r="V53" s="304">
        <v>2.1434570067470302</v>
      </c>
      <c r="W53" s="304">
        <v>2.0439217581242755</v>
      </c>
      <c r="X53" s="304">
        <v>2.2459271944510011</v>
      </c>
      <c r="Y53" s="304"/>
      <c r="Z53" s="304">
        <v>3.7157955285826119</v>
      </c>
      <c r="AA53" s="304">
        <v>3.1567897851571485</v>
      </c>
      <c r="AB53" s="304">
        <v>3.1932526586395635</v>
      </c>
      <c r="AC53" s="304"/>
      <c r="AD53" s="304">
        <v>3.2344890820849796</v>
      </c>
      <c r="AE53" s="304">
        <v>2.7894589293281977</v>
      </c>
      <c r="AF53" s="304">
        <v>2.8131205391844665</v>
      </c>
      <c r="AG53" s="304"/>
      <c r="AH53" s="304">
        <v>2.3366281879379391</v>
      </c>
      <c r="AI53" s="304">
        <v>2.2509654066797546</v>
      </c>
      <c r="AJ53" s="304">
        <v>2.4589250904808222</v>
      </c>
      <c r="AK53" s="304"/>
      <c r="AL53" s="304">
        <v>0.30531442472125786</v>
      </c>
      <c r="AM53" s="304">
        <v>0.18366502289181466</v>
      </c>
      <c r="AN53" s="304">
        <v>0.19275884156736345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16.900256412998139</v>
      </c>
      <c r="C54" s="304">
        <f t="shared" si="70"/>
        <v>16.968332001103537</v>
      </c>
      <c r="D54" s="304">
        <f t="shared" si="71"/>
        <v>16.202257853921594</v>
      </c>
      <c r="E54" s="304"/>
      <c r="F54" s="304">
        <v>0.14330311850778016</v>
      </c>
      <c r="G54" s="304">
        <v>0.19634195562781237</v>
      </c>
      <c r="H54" s="304">
        <v>0.38278521909230778</v>
      </c>
      <c r="I54" s="304"/>
      <c r="J54" s="304">
        <v>0.75696566669736054</v>
      </c>
      <c r="K54" s="304">
        <v>1.1714679048183034</v>
      </c>
      <c r="L54" s="304">
        <v>1.7406076536130559</v>
      </c>
      <c r="M54" s="304"/>
      <c r="N54" s="304">
        <v>2.2035193748280379</v>
      </c>
      <c r="O54" s="304">
        <v>2.7765512308590181</v>
      </c>
      <c r="P54" s="304">
        <v>3.7032494841879275</v>
      </c>
      <c r="Q54" s="304"/>
      <c r="R54" s="304">
        <v>1.3536123570452012</v>
      </c>
      <c r="S54" s="304">
        <v>1.5297262318259282</v>
      </c>
      <c r="T54" s="304">
        <v>1.8984242014524035</v>
      </c>
      <c r="U54" s="304"/>
      <c r="V54" s="304">
        <v>1.1256879756212081</v>
      </c>
      <c r="W54" s="304">
        <v>1.2754281748707244</v>
      </c>
      <c r="X54" s="304">
        <v>1.7540609845504047</v>
      </c>
      <c r="Y54" s="304"/>
      <c r="Z54" s="304">
        <v>3.321291484127423</v>
      </c>
      <c r="AA54" s="304">
        <v>3.1807463576689141</v>
      </c>
      <c r="AB54" s="304">
        <v>2.4166875306927222</v>
      </c>
      <c r="AC54" s="304"/>
      <c r="AD54" s="304">
        <v>2.8978962801486539</v>
      </c>
      <c r="AE54" s="304">
        <v>2.1771887167567927</v>
      </c>
      <c r="AF54" s="304">
        <v>0.80579880405874815</v>
      </c>
      <c r="AG54" s="304"/>
      <c r="AH54" s="304">
        <v>4.3300160503054377</v>
      </c>
      <c r="AI54" s="304">
        <v>4.3906451089908396</v>
      </c>
      <c r="AJ54" s="304">
        <v>3.4799074582646923</v>
      </c>
      <c r="AK54" s="304"/>
      <c r="AL54" s="304">
        <v>0.76796410571703655</v>
      </c>
      <c r="AM54" s="304">
        <v>0.27023631968520334</v>
      </c>
      <c r="AN54" s="304">
        <v>2.0736518009331621E-2</v>
      </c>
    </row>
    <row r="55" spans="1:40" x14ac:dyDescent="0.2">
      <c r="A55" s="13" t="str">
        <f t="shared" si="67"/>
        <v>Skilled trades occupations</v>
      </c>
      <c r="B55" s="304">
        <f t="shared" si="69"/>
        <v>98.026584321499996</v>
      </c>
      <c r="C55" s="304">
        <f t="shared" si="70"/>
        <v>107.85179599642397</v>
      </c>
      <c r="D55" s="304">
        <f t="shared" si="71"/>
        <v>114.36479419597391</v>
      </c>
      <c r="E55" s="304"/>
      <c r="F55" s="304">
        <v>1.4519880467141746E-2</v>
      </c>
      <c r="G55" s="304">
        <v>2.4456021512515191E-2</v>
      </c>
      <c r="H55" s="304">
        <v>3.8360482424762039E-2</v>
      </c>
      <c r="I55" s="304"/>
      <c r="J55" s="304">
        <v>0.73571060874537109</v>
      </c>
      <c r="K55" s="304">
        <v>1.3296009425610975</v>
      </c>
      <c r="L55" s="304">
        <v>2.2359831688506726</v>
      </c>
      <c r="M55" s="304"/>
      <c r="N55" s="304">
        <v>2.6021410084004448</v>
      </c>
      <c r="O55" s="304">
        <v>3.8389121362980312</v>
      </c>
      <c r="P55" s="304">
        <v>5.251015518055361</v>
      </c>
      <c r="Q55" s="304"/>
      <c r="R55" s="304">
        <v>1.6662581690999283</v>
      </c>
      <c r="S55" s="304">
        <v>2.4424278383339768</v>
      </c>
      <c r="T55" s="304">
        <v>3.3263148502274671</v>
      </c>
      <c r="U55" s="304"/>
      <c r="V55" s="304">
        <v>4.3569500760478634</v>
      </c>
      <c r="W55" s="304">
        <v>6.2321035219162511</v>
      </c>
      <c r="X55" s="304">
        <v>8.4332769988968153</v>
      </c>
      <c r="Y55" s="304"/>
      <c r="Z55" s="304">
        <v>38.288216833059522</v>
      </c>
      <c r="AA55" s="304">
        <v>42.912529042926181</v>
      </c>
      <c r="AB55" s="304">
        <v>45.071442626668023</v>
      </c>
      <c r="AC55" s="304"/>
      <c r="AD55" s="304">
        <v>29.815156780066548</v>
      </c>
      <c r="AE55" s="304">
        <v>31.378715649986489</v>
      </c>
      <c r="AF55" s="304">
        <v>31.285088340636616</v>
      </c>
      <c r="AG55" s="304"/>
      <c r="AH55" s="304">
        <v>14.461645337179073</v>
      </c>
      <c r="AI55" s="304">
        <v>15.93912175683697</v>
      </c>
      <c r="AJ55" s="304">
        <v>18.073037115791966</v>
      </c>
      <c r="AK55" s="304"/>
      <c r="AL55" s="304">
        <v>6.0859856284341092</v>
      </c>
      <c r="AM55" s="304">
        <v>3.7539290860524672</v>
      </c>
      <c r="AN55" s="304">
        <v>0.65027509442223319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0.61574506447415089</v>
      </c>
      <c r="C56" s="304">
        <f t="shared" si="70"/>
        <v>0.6952357138410501</v>
      </c>
      <c r="D56" s="304">
        <f t="shared" si="71"/>
        <v>0.86290298127694531</v>
      </c>
      <c r="E56" s="304"/>
      <c r="F56" s="304">
        <v>4.2760660686867676E-4</v>
      </c>
      <c r="G56" s="304">
        <v>6.1681611033099343E-4</v>
      </c>
      <c r="H56" s="304">
        <v>8.9486980433376307E-4</v>
      </c>
      <c r="I56" s="304"/>
      <c r="J56" s="304">
        <v>2.3024924355818526E-2</v>
      </c>
      <c r="K56" s="304">
        <v>3.0205136138697141E-2</v>
      </c>
      <c r="L56" s="304">
        <v>4.4078976706191757E-2</v>
      </c>
      <c r="M56" s="304"/>
      <c r="N56" s="304">
        <v>2.9628032419722367E-2</v>
      </c>
      <c r="O56" s="304">
        <v>3.7078537265357467E-2</v>
      </c>
      <c r="P56" s="304">
        <v>4.815974332088814E-2</v>
      </c>
      <c r="Q56" s="304"/>
      <c r="R56" s="304">
        <v>5.2663823317070941E-3</v>
      </c>
      <c r="S56" s="304">
        <v>6.9632331337994881E-3</v>
      </c>
      <c r="T56" s="304">
        <v>8.3481875690753424E-3</v>
      </c>
      <c r="U56" s="304"/>
      <c r="V56" s="304">
        <v>1.4995271065730719E-2</v>
      </c>
      <c r="W56" s="304">
        <v>1.6464420552206271E-2</v>
      </c>
      <c r="X56" s="304">
        <v>1.9137968659837995E-2</v>
      </c>
      <c r="Y56" s="304"/>
      <c r="Z56" s="304">
        <v>0.21810576612895119</v>
      </c>
      <c r="AA56" s="304">
        <v>0.28793817448788095</v>
      </c>
      <c r="AB56" s="304">
        <v>0.41403861135502773</v>
      </c>
      <c r="AC56" s="304"/>
      <c r="AD56" s="304">
        <v>5.2169601108113708E-2</v>
      </c>
      <c r="AE56" s="304">
        <v>5.9480702171239741E-2</v>
      </c>
      <c r="AF56" s="304">
        <v>7.5842086400389169E-2</v>
      </c>
      <c r="AG56" s="304"/>
      <c r="AH56" s="304">
        <v>0.15846507150089933</v>
      </c>
      <c r="AI56" s="304">
        <v>0.15143337845552304</v>
      </c>
      <c r="AJ56" s="304">
        <v>0.16376539186223313</v>
      </c>
      <c r="AK56" s="304"/>
      <c r="AL56" s="304">
        <v>0.11366240895633929</v>
      </c>
      <c r="AM56" s="304">
        <v>0.10505531552601494</v>
      </c>
      <c r="AN56" s="304">
        <v>8.8637145598968292E-2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4.4055426264859907</v>
      </c>
      <c r="C57" s="304">
        <f t="shared" si="70"/>
        <v>5.1829095013213209</v>
      </c>
      <c r="D57" s="304">
        <f t="shared" si="71"/>
        <v>5.8548040141594972</v>
      </c>
      <c r="E57" s="304"/>
      <c r="F57" s="304">
        <v>1.0186877741849273E-2</v>
      </c>
      <c r="G57" s="304">
        <v>1.7514165750270431E-2</v>
      </c>
      <c r="H57" s="304">
        <v>3.5192714902357321E-2</v>
      </c>
      <c r="I57" s="304"/>
      <c r="J57" s="304">
        <v>0.27151724119865667</v>
      </c>
      <c r="K57" s="304">
        <v>0.38744045609910216</v>
      </c>
      <c r="L57" s="304">
        <v>0.5733780094576959</v>
      </c>
      <c r="M57" s="304"/>
      <c r="N57" s="304">
        <v>0.70649264728824934</v>
      </c>
      <c r="O57" s="304">
        <v>0.95315913051201917</v>
      </c>
      <c r="P57" s="304">
        <v>1.2612083817779374</v>
      </c>
      <c r="Q57" s="304"/>
      <c r="R57" s="304">
        <v>0.21078911791869373</v>
      </c>
      <c r="S57" s="304">
        <v>0.29330152609811605</v>
      </c>
      <c r="T57" s="304">
        <v>0.39617982965900589</v>
      </c>
      <c r="U57" s="304"/>
      <c r="V57" s="304">
        <v>0.1980737527365326</v>
      </c>
      <c r="W57" s="304">
        <v>0.25634585136941879</v>
      </c>
      <c r="X57" s="304">
        <v>0.30827880882368025</v>
      </c>
      <c r="Y57" s="304"/>
      <c r="Z57" s="304">
        <v>1.7883005549759996</v>
      </c>
      <c r="AA57" s="304">
        <v>2.1126868951155875</v>
      </c>
      <c r="AB57" s="304">
        <v>2.686932654828015</v>
      </c>
      <c r="AC57" s="304"/>
      <c r="AD57" s="304">
        <v>0.31633839408844378</v>
      </c>
      <c r="AE57" s="304">
        <v>0.21027620916388381</v>
      </c>
      <c r="AF57" s="304">
        <v>6.5100742843151982E-2</v>
      </c>
      <c r="AG57" s="304"/>
      <c r="AH57" s="304">
        <v>0.4657843069709145</v>
      </c>
      <c r="AI57" s="304">
        <v>0.51052988844993852</v>
      </c>
      <c r="AJ57" s="304">
        <v>0.1066124259595032</v>
      </c>
      <c r="AK57" s="304"/>
      <c r="AL57" s="304">
        <v>0.4380597335666509</v>
      </c>
      <c r="AM57" s="304">
        <v>0.44165537876298427</v>
      </c>
      <c r="AN57" s="304">
        <v>0.42192044590815009</v>
      </c>
    </row>
    <row r="58" spans="1:40" x14ac:dyDescent="0.2">
      <c r="A58" s="13" t="str">
        <f t="shared" si="67"/>
        <v>Process, plant and machine operatives</v>
      </c>
      <c r="B58" s="304">
        <f t="shared" si="69"/>
        <v>17.608101583838224</v>
      </c>
      <c r="C58" s="304">
        <f t="shared" si="70"/>
        <v>21.52568684689188</v>
      </c>
      <c r="D58" s="304">
        <f t="shared" si="71"/>
        <v>23.376477965292956</v>
      </c>
      <c r="E58" s="304"/>
      <c r="F58" s="304">
        <v>5.138441399921876E-2</v>
      </c>
      <c r="G58" s="304">
        <v>0.11700000337838415</v>
      </c>
      <c r="H58" s="304">
        <v>0.23077688343562727</v>
      </c>
      <c r="I58" s="304"/>
      <c r="J58" s="304">
        <v>0.16213747334586459</v>
      </c>
      <c r="K58" s="304">
        <v>0.34047218239150323</v>
      </c>
      <c r="L58" s="304">
        <v>0.69841116897605315</v>
      </c>
      <c r="M58" s="304"/>
      <c r="N58" s="304">
        <v>0.23099430665800255</v>
      </c>
      <c r="O58" s="304">
        <v>0.3675671805821894</v>
      </c>
      <c r="P58" s="304">
        <v>0.60303445060262795</v>
      </c>
      <c r="Q58" s="304"/>
      <c r="R58" s="304">
        <v>0.2473804534259553</v>
      </c>
      <c r="S58" s="304">
        <v>0.41616158014123344</v>
      </c>
      <c r="T58" s="304">
        <v>0.67627041873858362</v>
      </c>
      <c r="U58" s="304"/>
      <c r="V58" s="304">
        <v>0.70148743174651251</v>
      </c>
      <c r="W58" s="304">
        <v>1.1033301731340392</v>
      </c>
      <c r="X58" s="304">
        <v>1.5104193924543787</v>
      </c>
      <c r="Y58" s="304"/>
      <c r="Z58" s="304">
        <v>5.0244830802244209</v>
      </c>
      <c r="AA58" s="304">
        <v>6.9948846959946964</v>
      </c>
      <c r="AB58" s="304">
        <v>9.1721563464429074</v>
      </c>
      <c r="AC58" s="304"/>
      <c r="AD58" s="304">
        <v>6.123575539210889</v>
      </c>
      <c r="AE58" s="304">
        <v>7.503593146461049</v>
      </c>
      <c r="AF58" s="304">
        <v>8.0986594464694814</v>
      </c>
      <c r="AG58" s="304"/>
      <c r="AH58" s="304">
        <v>4.1206396006825639</v>
      </c>
      <c r="AI58" s="304">
        <v>4.104052471574283</v>
      </c>
      <c r="AJ58" s="304">
        <v>2.2515669834593202</v>
      </c>
      <c r="AK58" s="304"/>
      <c r="AL58" s="304">
        <v>0.94601928454479278</v>
      </c>
      <c r="AM58" s="304">
        <v>0.57862541323449646</v>
      </c>
      <c r="AN58" s="304">
        <v>0.13518287471397478</v>
      </c>
    </row>
    <row r="59" spans="1:40" x14ac:dyDescent="0.2">
      <c r="A59" s="13" t="str">
        <f t="shared" si="67"/>
        <v>Elementary occupations</v>
      </c>
      <c r="B59" s="304">
        <f t="shared" si="69"/>
        <v>11.274893249152512</v>
      </c>
      <c r="C59" s="304">
        <f t="shared" si="70"/>
        <v>11.062885493840065</v>
      </c>
      <c r="D59" s="304">
        <f t="shared" si="71"/>
        <v>11.709279979065798</v>
      </c>
      <c r="E59" s="304"/>
      <c r="F59" s="304">
        <v>1.086722000032121E-3</v>
      </c>
      <c r="G59" s="304">
        <v>1.7768246599086158E-3</v>
      </c>
      <c r="H59" s="304">
        <v>3.2154646655714273E-3</v>
      </c>
      <c r="I59" s="304"/>
      <c r="J59" s="304">
        <v>9.8806533126198914E-2</v>
      </c>
      <c r="K59" s="304">
        <v>0.17716784992771001</v>
      </c>
      <c r="L59" s="304">
        <v>0.33030102845852355</v>
      </c>
      <c r="M59" s="304"/>
      <c r="N59" s="304">
        <v>0.25865234029004247</v>
      </c>
      <c r="O59" s="304">
        <v>0.33865310351054334</v>
      </c>
      <c r="P59" s="304">
        <v>0.36992322879754208</v>
      </c>
      <c r="Q59" s="304"/>
      <c r="R59" s="304">
        <v>5.8377531355088608E-2</v>
      </c>
      <c r="S59" s="304">
        <v>7.1753780781081508E-2</v>
      </c>
      <c r="T59" s="304">
        <v>7.5574507853968062E-2</v>
      </c>
      <c r="U59" s="304"/>
      <c r="V59" s="304">
        <v>0.437592577770967</v>
      </c>
      <c r="W59" s="304">
        <v>0.59389672006025507</v>
      </c>
      <c r="X59" s="304">
        <v>0.69474123722162617</v>
      </c>
      <c r="Y59" s="304"/>
      <c r="Z59" s="304">
        <v>2.9214342218752392</v>
      </c>
      <c r="AA59" s="304">
        <v>3.5587724693816956</v>
      </c>
      <c r="AB59" s="304">
        <v>5.0206270390622869</v>
      </c>
      <c r="AC59" s="304"/>
      <c r="AD59" s="304">
        <v>3.2320024397456528</v>
      </c>
      <c r="AE59" s="304">
        <v>3.132249477188445</v>
      </c>
      <c r="AF59" s="304">
        <v>3.0885822412545241</v>
      </c>
      <c r="AG59" s="304"/>
      <c r="AH59" s="304">
        <v>3.2969510562198208</v>
      </c>
      <c r="AI59" s="304">
        <v>2.9979711134856175</v>
      </c>
      <c r="AJ59" s="304">
        <v>2.0347313763092463</v>
      </c>
      <c r="AK59" s="304"/>
      <c r="AL59" s="304">
        <v>0.96998982676946999</v>
      </c>
      <c r="AM59" s="304">
        <v>0.19064415484480907</v>
      </c>
      <c r="AN59" s="304">
        <v>9.1583855442509771E-2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796.18700001213904</v>
      </c>
      <c r="C62" s="305">
        <f>SUM(C63:C71)</f>
        <v>820.05200002800848</v>
      </c>
      <c r="D62" s="305">
        <f>SUM(D63:D71)</f>
        <v>859.45200000068587</v>
      </c>
      <c r="E62" s="304"/>
      <c r="F62" s="305">
        <f>SUM(F63:F71)</f>
        <v>2.537079541276285</v>
      </c>
      <c r="G62" s="305">
        <f>SUM(G63:G71)</f>
        <v>3.8700815168060654</v>
      </c>
      <c r="H62" s="305">
        <f>SUM(H63:H71)</f>
        <v>6.9310640564474353</v>
      </c>
      <c r="I62" s="304"/>
      <c r="J62" s="305">
        <f>SUM(J63:J71)</f>
        <v>30.891669550831633</v>
      </c>
      <c r="K62" s="305">
        <f>SUM(K63:K71)</f>
        <v>45.18799979910834</v>
      </c>
      <c r="L62" s="305">
        <f>SUM(L63:L71)</f>
        <v>81.276831458929991</v>
      </c>
      <c r="M62" s="304"/>
      <c r="N62" s="305">
        <f>SUM(N63:N71)</f>
        <v>105.44260239632173</v>
      </c>
      <c r="O62" s="305">
        <f>SUM(O63:O71)</f>
        <v>129.32058242031491</v>
      </c>
      <c r="P62" s="305">
        <f>SUM(P63:P71)</f>
        <v>173.96940429356792</v>
      </c>
      <c r="Q62" s="304"/>
      <c r="R62" s="305">
        <f>SUM(R63:R71)</f>
        <v>32.947196086881</v>
      </c>
      <c r="S62" s="305">
        <f>SUM(S63:S71)</f>
        <v>39.14161072259418</v>
      </c>
      <c r="T62" s="305">
        <f>SUM(T63:T71)</f>
        <v>52.322159062825307</v>
      </c>
      <c r="U62" s="304"/>
      <c r="V62" s="305">
        <f>SUM(V63:V71)</f>
        <v>36.491119594382589</v>
      </c>
      <c r="W62" s="305">
        <f>SUM(W63:W71)</f>
        <v>42.551220311221698</v>
      </c>
      <c r="X62" s="305">
        <f>SUM(X63:X71)</f>
        <v>54.386845884088842</v>
      </c>
      <c r="Y62" s="304"/>
      <c r="Z62" s="305">
        <f>SUM(Z63:Z71)</f>
        <v>198.97815985277711</v>
      </c>
      <c r="AA62" s="305">
        <f>SUM(AA63:AA71)</f>
        <v>207.48010076142987</v>
      </c>
      <c r="AB62" s="305">
        <f>SUM(AB63:AB71)</f>
        <v>227.38683151752448</v>
      </c>
      <c r="AC62" s="304"/>
      <c r="AD62" s="305">
        <f>SUM(AD63:AD71)</f>
        <v>199.9914642767624</v>
      </c>
      <c r="AE62" s="305">
        <f>SUM(AE63:AE71)</f>
        <v>186.87375343663328</v>
      </c>
      <c r="AF62" s="305">
        <f>SUM(AF63:AF71)</f>
        <v>155.1626965998671</v>
      </c>
      <c r="AG62" s="304"/>
      <c r="AH62" s="305">
        <f>SUM(AH63:AH71)</f>
        <v>145.81528026186484</v>
      </c>
      <c r="AI62" s="305">
        <f>SUM(AI63:AI71)</f>
        <v>133.19814951066738</v>
      </c>
      <c r="AJ62" s="305">
        <f>SUM(AJ63:AJ71)</f>
        <v>79.240385061391976</v>
      </c>
      <c r="AK62" s="304"/>
      <c r="AL62" s="305">
        <f>SUM(AL63:AL71)</f>
        <v>43.092428451041478</v>
      </c>
      <c r="AM62" s="305">
        <f>SUM(AM63:AM71)</f>
        <v>32.428501549232678</v>
      </c>
      <c r="AN62" s="305">
        <f>SUM(AN63:AN71)</f>
        <v>28.775782066042773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118.30582566862718</v>
      </c>
      <c r="C63" s="304">
        <f t="shared" ref="C63:C71" si="73">SUM(G63,K63,O63,S63,W63,AA63,AE63,AI63,AM63)</f>
        <v>126.36376374538368</v>
      </c>
      <c r="D63" s="304">
        <f t="shared" ref="D63:D71" si="74">SUM(H63,L63,P63,T63,X63,AB63,AF63,AJ63,AN63)</f>
        <v>142.54441059974056</v>
      </c>
      <c r="E63" s="304"/>
      <c r="F63" s="304">
        <v>0.62779615429920888</v>
      </c>
      <c r="G63" s="304">
        <v>1.0266777703514731</v>
      </c>
      <c r="H63" s="304">
        <v>1.9165729553106077</v>
      </c>
      <c r="I63" s="304"/>
      <c r="J63" s="304">
        <v>7.8169912644115342</v>
      </c>
      <c r="K63" s="304">
        <v>11.56067767293546</v>
      </c>
      <c r="L63" s="304">
        <v>21.016169063855493</v>
      </c>
      <c r="M63" s="304"/>
      <c r="N63" s="304">
        <v>25.069227614439971</v>
      </c>
      <c r="O63" s="304">
        <v>30.833957812543552</v>
      </c>
      <c r="P63" s="304">
        <v>38.630955011121394</v>
      </c>
      <c r="Q63" s="304"/>
      <c r="R63" s="304">
        <v>5.67899498486985</v>
      </c>
      <c r="S63" s="304">
        <v>6.4543985288489285</v>
      </c>
      <c r="T63" s="304">
        <v>8.3356935297883172</v>
      </c>
      <c r="U63" s="304"/>
      <c r="V63" s="304">
        <v>7.1432022858393553</v>
      </c>
      <c r="W63" s="304">
        <v>7.9970896359319319</v>
      </c>
      <c r="X63" s="304">
        <v>8.4877280891816564</v>
      </c>
      <c r="Y63" s="304"/>
      <c r="Z63" s="304">
        <v>23.962918006009389</v>
      </c>
      <c r="AA63" s="304">
        <v>23.659564926220785</v>
      </c>
      <c r="AB63" s="304">
        <v>26.985959151164007</v>
      </c>
      <c r="AC63" s="304"/>
      <c r="AD63" s="304">
        <v>25.069308842420458</v>
      </c>
      <c r="AE63" s="304">
        <v>23.058696982478956</v>
      </c>
      <c r="AF63" s="304">
        <v>18.057080839370482</v>
      </c>
      <c r="AG63" s="304"/>
      <c r="AH63" s="304">
        <v>20.196123360409558</v>
      </c>
      <c r="AI63" s="304">
        <v>19.513964784712421</v>
      </c>
      <c r="AJ63" s="304">
        <v>16.871084923200112</v>
      </c>
      <c r="AK63" s="304"/>
      <c r="AL63" s="304">
        <v>2.741263155927848</v>
      </c>
      <c r="AM63" s="304">
        <v>2.2587356313601794</v>
      </c>
      <c r="AN63" s="304">
        <v>2.2431670367484653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60.688401005720131</v>
      </c>
      <c r="C64" s="304">
        <f t="shared" si="73"/>
        <v>66.801145165032281</v>
      </c>
      <c r="D64" s="304">
        <f t="shared" si="74"/>
        <v>76.909970151155008</v>
      </c>
      <c r="E64" s="304"/>
      <c r="F64" s="304">
        <v>0.92118819085085091</v>
      </c>
      <c r="G64" s="304">
        <v>1.3782902291520662</v>
      </c>
      <c r="H64" s="304">
        <v>2.3999376557412835</v>
      </c>
      <c r="I64" s="304"/>
      <c r="J64" s="304">
        <v>6.4151675723083157</v>
      </c>
      <c r="K64" s="304">
        <v>9.0852569901707856</v>
      </c>
      <c r="L64" s="304">
        <v>15.077917878045632</v>
      </c>
      <c r="M64" s="304"/>
      <c r="N64" s="304">
        <v>13.967505645546943</v>
      </c>
      <c r="O64" s="304">
        <v>16.551946446720816</v>
      </c>
      <c r="P64" s="304">
        <v>20.324375833863446</v>
      </c>
      <c r="Q64" s="304"/>
      <c r="R64" s="304">
        <v>2.3727627022434414</v>
      </c>
      <c r="S64" s="304">
        <v>2.4810785655438639</v>
      </c>
      <c r="T64" s="304">
        <v>2.6541032521407706</v>
      </c>
      <c r="U64" s="304"/>
      <c r="V64" s="304">
        <v>3.4102379608809326</v>
      </c>
      <c r="W64" s="304">
        <v>3.6843319544584636</v>
      </c>
      <c r="X64" s="304">
        <v>4.2212656327650873</v>
      </c>
      <c r="Y64" s="304"/>
      <c r="Z64" s="304">
        <v>14.77187293329151</v>
      </c>
      <c r="AA64" s="304">
        <v>16.153744613494133</v>
      </c>
      <c r="AB64" s="304">
        <v>18.60207182622635</v>
      </c>
      <c r="AC64" s="304"/>
      <c r="AD64" s="304">
        <v>10.434450715008305</v>
      </c>
      <c r="AE64" s="304">
        <v>9.4318577870099674</v>
      </c>
      <c r="AF64" s="304">
        <v>7.237108787375635</v>
      </c>
      <c r="AG64" s="304"/>
      <c r="AH64" s="304">
        <v>7.1968104235423782</v>
      </c>
      <c r="AI64" s="304">
        <v>6.8058328594327566</v>
      </c>
      <c r="AJ64" s="304">
        <v>4.904720065688239</v>
      </c>
      <c r="AK64" s="304"/>
      <c r="AL64" s="304">
        <v>1.1984048620474566</v>
      </c>
      <c r="AM64" s="304">
        <v>1.2288057190494346</v>
      </c>
      <c r="AN64" s="304">
        <v>1.4884692193085611</v>
      </c>
    </row>
    <row r="65" spans="1:40" x14ac:dyDescent="0.2">
      <c r="A65" s="13" t="str">
        <f t="shared" si="72"/>
        <v>Associate professional occupations</v>
      </c>
      <c r="B65" s="304">
        <f t="shared" si="75"/>
        <v>57.501599609247165</v>
      </c>
      <c r="C65" s="304">
        <f t="shared" si="73"/>
        <v>56.022785804175093</v>
      </c>
      <c r="D65" s="304">
        <f t="shared" si="74"/>
        <v>61.332264621740343</v>
      </c>
      <c r="E65" s="304"/>
      <c r="F65" s="304">
        <v>0.34619444265741955</v>
      </c>
      <c r="G65" s="304">
        <v>0.45245712747418648</v>
      </c>
      <c r="H65" s="304">
        <v>0.74540224579030767</v>
      </c>
      <c r="I65" s="304"/>
      <c r="J65" s="304">
        <v>3.0583471554535713</v>
      </c>
      <c r="K65" s="304">
        <v>3.9214058078963552</v>
      </c>
      <c r="L65" s="304">
        <v>6.3859435236283169</v>
      </c>
      <c r="M65" s="304"/>
      <c r="N65" s="304">
        <v>10.838663400682389</v>
      </c>
      <c r="O65" s="304">
        <v>11.852310862407387</v>
      </c>
      <c r="P65" s="304">
        <v>14.496330012735932</v>
      </c>
      <c r="Q65" s="304"/>
      <c r="R65" s="304">
        <v>2.520998363768066</v>
      </c>
      <c r="S65" s="304">
        <v>2.6888581924595334</v>
      </c>
      <c r="T65" s="304">
        <v>3.3779280306263684</v>
      </c>
      <c r="U65" s="304"/>
      <c r="V65" s="304">
        <v>3.154724608447101</v>
      </c>
      <c r="W65" s="304">
        <v>3.3386822867592572</v>
      </c>
      <c r="X65" s="304">
        <v>3.9605416681610266</v>
      </c>
      <c r="Y65" s="304"/>
      <c r="Z65" s="304">
        <v>15.19079134126426</v>
      </c>
      <c r="AA65" s="304">
        <v>14.875889641084454</v>
      </c>
      <c r="AB65" s="304">
        <v>17.019419492177036</v>
      </c>
      <c r="AC65" s="304"/>
      <c r="AD65" s="304">
        <v>12.47418284970929</v>
      </c>
      <c r="AE65" s="304">
        <v>10.925451527901883</v>
      </c>
      <c r="AF65" s="304">
        <v>9.8732130453292672</v>
      </c>
      <c r="AG65" s="304"/>
      <c r="AH65" s="304">
        <v>7.9818842292980632</v>
      </c>
      <c r="AI65" s="304">
        <v>6.5724070526505969</v>
      </c>
      <c r="AJ65" s="304">
        <v>4.0097174779334797</v>
      </c>
      <c r="AK65" s="304"/>
      <c r="AL65" s="304">
        <v>1.9358132179670073</v>
      </c>
      <c r="AM65" s="304">
        <v>1.3953233055414378</v>
      </c>
      <c r="AN65" s="304">
        <v>1.4637691253586145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69.254964974409901</v>
      </c>
      <c r="C66" s="304">
        <f t="shared" si="73"/>
        <v>70.281507534086415</v>
      </c>
      <c r="D66" s="304">
        <f t="shared" si="74"/>
        <v>80.118725028867914</v>
      </c>
      <c r="E66" s="304"/>
      <c r="F66" s="304">
        <v>0.17993839653813271</v>
      </c>
      <c r="G66" s="304">
        <v>0.27293156364043936</v>
      </c>
      <c r="H66" s="304">
        <v>0.53066607522957332</v>
      </c>
      <c r="I66" s="304"/>
      <c r="J66" s="304">
        <v>2.6699995099571012</v>
      </c>
      <c r="K66" s="304">
        <v>3.8912834924669388</v>
      </c>
      <c r="L66" s="304">
        <v>7.3074009344072488</v>
      </c>
      <c r="M66" s="304"/>
      <c r="N66" s="304">
        <v>10.84699027902648</v>
      </c>
      <c r="O66" s="304">
        <v>13.324833032186003</v>
      </c>
      <c r="P66" s="304">
        <v>22.93848053423331</v>
      </c>
      <c r="Q66" s="304"/>
      <c r="R66" s="304">
        <v>3.5566401085074077</v>
      </c>
      <c r="S66" s="304">
        <v>4.1842376407373809</v>
      </c>
      <c r="T66" s="304">
        <v>5.3789946393207684</v>
      </c>
      <c r="U66" s="304"/>
      <c r="V66" s="304">
        <v>3.2130670460561501</v>
      </c>
      <c r="W66" s="304">
        <v>3.500613970188462</v>
      </c>
      <c r="X66" s="304">
        <v>6.4386934677261616</v>
      </c>
      <c r="Y66" s="304"/>
      <c r="Z66" s="304">
        <v>18.026698402157201</v>
      </c>
      <c r="AA66" s="304">
        <v>19.001288541933942</v>
      </c>
      <c r="AB66" s="304">
        <v>20.245264704317005</v>
      </c>
      <c r="AC66" s="304"/>
      <c r="AD66" s="304">
        <v>19.354764937681647</v>
      </c>
      <c r="AE66" s="304">
        <v>17.957078598531588</v>
      </c>
      <c r="AF66" s="304">
        <v>13.951370038914334</v>
      </c>
      <c r="AG66" s="304"/>
      <c r="AH66" s="304">
        <v>9.8794044951897053</v>
      </c>
      <c r="AI66" s="304">
        <v>7.0615799207001215</v>
      </c>
      <c r="AJ66" s="304">
        <v>2.5075921160955423</v>
      </c>
      <c r="AK66" s="304"/>
      <c r="AL66" s="304">
        <v>1.5274617992960822</v>
      </c>
      <c r="AM66" s="304">
        <v>1.0876607737015433</v>
      </c>
      <c r="AN66" s="304">
        <v>0.82026251862397914</v>
      </c>
    </row>
    <row r="67" spans="1:40" x14ac:dyDescent="0.2">
      <c r="A67" s="13" t="str">
        <f t="shared" si="72"/>
        <v>Skilled trades occupations</v>
      </c>
      <c r="B67" s="304">
        <f t="shared" si="75"/>
        <v>73.305301592266005</v>
      </c>
      <c r="C67" s="304">
        <f t="shared" si="73"/>
        <v>73.741767171777852</v>
      </c>
      <c r="D67" s="304">
        <f t="shared" si="74"/>
        <v>71.511711297846759</v>
      </c>
      <c r="E67" s="304"/>
      <c r="F67" s="304">
        <v>4.3064199339306157E-2</v>
      </c>
      <c r="G67" s="304">
        <v>6.1458296399638353E-2</v>
      </c>
      <c r="H67" s="304">
        <v>0.11037917649727003</v>
      </c>
      <c r="I67" s="304"/>
      <c r="J67" s="304">
        <v>1.1983743329564887</v>
      </c>
      <c r="K67" s="304">
        <v>1.8728593479523861</v>
      </c>
      <c r="L67" s="304">
        <v>3.4908905771825811</v>
      </c>
      <c r="M67" s="304"/>
      <c r="N67" s="304">
        <v>3.9585502922064411</v>
      </c>
      <c r="O67" s="304">
        <v>5.2917017772107391</v>
      </c>
      <c r="P67" s="304">
        <v>6.5536905736422915</v>
      </c>
      <c r="Q67" s="304"/>
      <c r="R67" s="304">
        <v>2.3329813988099315</v>
      </c>
      <c r="S67" s="304">
        <v>2.8247181235182253</v>
      </c>
      <c r="T67" s="304">
        <v>3.7526197262323775</v>
      </c>
      <c r="U67" s="304"/>
      <c r="V67" s="304">
        <v>3.3992001476316824</v>
      </c>
      <c r="W67" s="304">
        <v>4.1586493042964117</v>
      </c>
      <c r="X67" s="304">
        <v>4.5319757302415571</v>
      </c>
      <c r="Y67" s="304"/>
      <c r="Z67" s="304">
        <v>25.006272048057745</v>
      </c>
      <c r="AA67" s="304">
        <v>26.42187666717156</v>
      </c>
      <c r="AB67" s="304">
        <v>27.351365143789611</v>
      </c>
      <c r="AC67" s="304"/>
      <c r="AD67" s="304">
        <v>18.514549582358523</v>
      </c>
      <c r="AE67" s="304">
        <v>16.395664265944557</v>
      </c>
      <c r="AF67" s="304">
        <v>14.177444478282462</v>
      </c>
      <c r="AG67" s="304"/>
      <c r="AH67" s="304">
        <v>13.605249178629951</v>
      </c>
      <c r="AI67" s="304">
        <v>13.287089773833468</v>
      </c>
      <c r="AJ67" s="304">
        <v>9.6024444574541654</v>
      </c>
      <c r="AK67" s="304"/>
      <c r="AL67" s="304">
        <v>5.2470604122759497</v>
      </c>
      <c r="AM67" s="304">
        <v>3.4277496154508706</v>
      </c>
      <c r="AN67" s="304">
        <v>1.9409014345244537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21.01525841031939</v>
      </c>
      <c r="C68" s="304">
        <f t="shared" si="73"/>
        <v>22.126606419866558</v>
      </c>
      <c r="D68" s="304">
        <f t="shared" si="74"/>
        <v>25.824667711433854</v>
      </c>
      <c r="E68" s="304"/>
      <c r="F68" s="304">
        <v>3.4477098372817018E-2</v>
      </c>
      <c r="G68" s="304">
        <v>5.733743098889546E-2</v>
      </c>
      <c r="H68" s="304">
        <v>0.1050213436856479</v>
      </c>
      <c r="I68" s="304"/>
      <c r="J68" s="304">
        <v>0.49840656511255632</v>
      </c>
      <c r="K68" s="304">
        <v>0.74862127104781939</v>
      </c>
      <c r="L68" s="304">
        <v>1.5392309882455508</v>
      </c>
      <c r="M68" s="304"/>
      <c r="N68" s="304">
        <v>2.2928801954887854</v>
      </c>
      <c r="O68" s="304">
        <v>2.7529403856479888</v>
      </c>
      <c r="P68" s="304">
        <v>3.4927508535845044</v>
      </c>
      <c r="Q68" s="304"/>
      <c r="R68" s="304">
        <v>1.8417734840535889</v>
      </c>
      <c r="S68" s="304">
        <v>2.2158590996614609</v>
      </c>
      <c r="T68" s="304">
        <v>3.267332470062982</v>
      </c>
      <c r="U68" s="304"/>
      <c r="V68" s="304">
        <v>1.8471077120561998</v>
      </c>
      <c r="W68" s="304">
        <v>2.2684465885513965</v>
      </c>
      <c r="X68" s="304">
        <v>3.3649508931852639</v>
      </c>
      <c r="Y68" s="304"/>
      <c r="Z68" s="304">
        <v>3.9286430865761979</v>
      </c>
      <c r="AA68" s="304">
        <v>4.0600737723048983</v>
      </c>
      <c r="AB68" s="304">
        <v>4.6745042027257133</v>
      </c>
      <c r="AC68" s="304"/>
      <c r="AD68" s="304">
        <v>5.6845469150193191</v>
      </c>
      <c r="AE68" s="304">
        <v>5.5240234421772394</v>
      </c>
      <c r="AF68" s="304">
        <v>5.5595442233308452</v>
      </c>
      <c r="AG68" s="304"/>
      <c r="AH68" s="304">
        <v>3.7661946927665206</v>
      </c>
      <c r="AI68" s="304">
        <v>3.7702613443705157</v>
      </c>
      <c r="AJ68" s="304">
        <v>3.3326874616196043</v>
      </c>
      <c r="AK68" s="304"/>
      <c r="AL68" s="304">
        <v>1.1212286608734019</v>
      </c>
      <c r="AM68" s="304">
        <v>0.72904308511634219</v>
      </c>
      <c r="AN68" s="304">
        <v>0.48864527499374227</v>
      </c>
    </row>
    <row r="69" spans="1:40" x14ac:dyDescent="0.2">
      <c r="A69" s="13" t="str">
        <f t="shared" si="72"/>
        <v>Sales and customer service occupations</v>
      </c>
      <c r="B69" s="304">
        <f t="shared" si="75"/>
        <v>185.54343967709966</v>
      </c>
      <c r="C69" s="304">
        <f t="shared" si="73"/>
        <v>180.39486138937227</v>
      </c>
      <c r="D69" s="304">
        <f t="shared" si="74"/>
        <v>176.50014249316493</v>
      </c>
      <c r="E69" s="304"/>
      <c r="F69" s="304">
        <v>0.20721526905141269</v>
      </c>
      <c r="G69" s="304">
        <v>0.32026051823837193</v>
      </c>
      <c r="H69" s="304">
        <v>0.50935994435905363</v>
      </c>
      <c r="I69" s="304"/>
      <c r="J69" s="304">
        <v>4.4620450689623636</v>
      </c>
      <c r="K69" s="304">
        <v>6.4727438947238332</v>
      </c>
      <c r="L69" s="304">
        <v>12.050098414365015</v>
      </c>
      <c r="M69" s="304"/>
      <c r="N69" s="304">
        <v>20.990106429669023</v>
      </c>
      <c r="O69" s="304">
        <v>25.548393200396756</v>
      </c>
      <c r="P69" s="304">
        <v>34.680396702667814</v>
      </c>
      <c r="Q69" s="304"/>
      <c r="R69" s="304">
        <v>7.0481163793527033</v>
      </c>
      <c r="S69" s="304">
        <v>8.1987744635206816</v>
      </c>
      <c r="T69" s="304">
        <v>10.891075281882353</v>
      </c>
      <c r="U69" s="304"/>
      <c r="V69" s="304">
        <v>5.5684605647810876</v>
      </c>
      <c r="W69" s="304">
        <v>6.0692774775731939</v>
      </c>
      <c r="X69" s="304">
        <v>7.283702140081564</v>
      </c>
      <c r="Y69" s="304"/>
      <c r="Z69" s="304">
        <v>53.808432968728923</v>
      </c>
      <c r="AA69" s="304">
        <v>55.15499655140291</v>
      </c>
      <c r="AB69" s="304">
        <v>62.222307449065184</v>
      </c>
      <c r="AC69" s="304"/>
      <c r="AD69" s="304">
        <v>48.402000807433375</v>
      </c>
      <c r="AE69" s="304">
        <v>42.961289924954301</v>
      </c>
      <c r="AF69" s="304">
        <v>34.040502934272496</v>
      </c>
      <c r="AG69" s="304"/>
      <c r="AH69" s="304">
        <v>35.44665494780223</v>
      </c>
      <c r="AI69" s="304">
        <v>29.730625442003543</v>
      </c>
      <c r="AJ69" s="304">
        <v>10.391319103704538</v>
      </c>
      <c r="AK69" s="304"/>
      <c r="AL69" s="304">
        <v>9.6104072413185513</v>
      </c>
      <c r="AM69" s="304">
        <v>5.9384999165586843</v>
      </c>
      <c r="AN69" s="304">
        <v>4.4313805227669159</v>
      </c>
    </row>
    <row r="70" spans="1:40" x14ac:dyDescent="0.2">
      <c r="A70" s="13" t="str">
        <f t="shared" si="72"/>
        <v>Process, plant and machine operatives</v>
      </c>
      <c r="B70" s="304">
        <f t="shared" si="75"/>
        <v>58.789583574535527</v>
      </c>
      <c r="C70" s="304">
        <f t="shared" si="73"/>
        <v>65.361015004224072</v>
      </c>
      <c r="D70" s="304">
        <f t="shared" si="74"/>
        <v>67.72291691965016</v>
      </c>
      <c r="E70" s="304"/>
      <c r="F70" s="304">
        <v>0.14774271359334012</v>
      </c>
      <c r="G70" s="304">
        <v>0.25829904991441055</v>
      </c>
      <c r="H70" s="304">
        <v>0.5494426786038209</v>
      </c>
      <c r="I70" s="304"/>
      <c r="J70" s="304">
        <v>0.78697372573818281</v>
      </c>
      <c r="K70" s="304">
        <v>1.3439214379018791</v>
      </c>
      <c r="L70" s="304">
        <v>2.5165337604092577</v>
      </c>
      <c r="M70" s="304"/>
      <c r="N70" s="304">
        <v>3.0086103945746108</v>
      </c>
      <c r="O70" s="304">
        <v>4.4155361170542315</v>
      </c>
      <c r="P70" s="304">
        <v>7.5980485137131053</v>
      </c>
      <c r="Q70" s="304"/>
      <c r="R70" s="304">
        <v>1.1920674756756138</v>
      </c>
      <c r="S70" s="304">
        <v>1.8152897766916478</v>
      </c>
      <c r="T70" s="304">
        <v>2.8954591254027382</v>
      </c>
      <c r="U70" s="304"/>
      <c r="V70" s="304">
        <v>1.8254856862426163</v>
      </c>
      <c r="W70" s="304">
        <v>2.6098500687074568</v>
      </c>
      <c r="X70" s="304">
        <v>3.66184052989062</v>
      </c>
      <c r="Y70" s="304"/>
      <c r="Z70" s="304">
        <v>11.634471967446826</v>
      </c>
      <c r="AA70" s="304">
        <v>14.316686394433907</v>
      </c>
      <c r="AB70" s="304">
        <v>16.169590258169308</v>
      </c>
      <c r="AC70" s="304"/>
      <c r="AD70" s="304">
        <v>18.07201343259533</v>
      </c>
      <c r="AE70" s="304">
        <v>19.689862245971806</v>
      </c>
      <c r="AF70" s="304">
        <v>19.093800607840389</v>
      </c>
      <c r="AG70" s="304"/>
      <c r="AH70" s="304">
        <v>15.741995626456603</v>
      </c>
      <c r="AI70" s="304">
        <v>16.452154148342771</v>
      </c>
      <c r="AJ70" s="304">
        <v>12.290949534417191</v>
      </c>
      <c r="AK70" s="304"/>
      <c r="AL70" s="304">
        <v>6.3802225522124045</v>
      </c>
      <c r="AM70" s="304">
        <v>4.4594157652059589</v>
      </c>
      <c r="AN70" s="304">
        <v>2.9472519112037237</v>
      </c>
    </row>
    <row r="71" spans="1:40" x14ac:dyDescent="0.2">
      <c r="A71" s="13" t="str">
        <f t="shared" si="72"/>
        <v>Elementary occupations</v>
      </c>
      <c r="B71" s="304">
        <f t="shared" si="75"/>
        <v>151.78262549991408</v>
      </c>
      <c r="C71" s="304">
        <f t="shared" si="73"/>
        <v>158.95854779409018</v>
      </c>
      <c r="D71" s="304">
        <f t="shared" si="74"/>
        <v>156.98719117708629</v>
      </c>
      <c r="E71" s="304"/>
      <c r="F71" s="304">
        <v>2.9463076573796706E-2</v>
      </c>
      <c r="G71" s="304">
        <v>4.2369530646583414E-2</v>
      </c>
      <c r="H71" s="304">
        <v>6.4281981229869903E-2</v>
      </c>
      <c r="I71" s="304"/>
      <c r="J71" s="304">
        <v>3.9853643559315146</v>
      </c>
      <c r="K71" s="304">
        <v>6.2912298840128837</v>
      </c>
      <c r="L71" s="304">
        <v>11.892646318790899</v>
      </c>
      <c r="M71" s="304"/>
      <c r="N71" s="304">
        <v>14.470068144687065</v>
      </c>
      <c r="O71" s="304">
        <v>18.748962786147452</v>
      </c>
      <c r="P71" s="304">
        <v>25.254376258006108</v>
      </c>
      <c r="Q71" s="304"/>
      <c r="R71" s="304">
        <v>6.4028611896003946</v>
      </c>
      <c r="S71" s="304">
        <v>8.2783963316124574</v>
      </c>
      <c r="T71" s="304">
        <v>11.768953007368633</v>
      </c>
      <c r="U71" s="304"/>
      <c r="V71" s="304">
        <v>6.9296335824474644</v>
      </c>
      <c r="W71" s="304">
        <v>8.9242790247551262</v>
      </c>
      <c r="X71" s="304">
        <v>12.436147732855904</v>
      </c>
      <c r="Y71" s="304"/>
      <c r="Z71" s="304">
        <v>32.648059099245067</v>
      </c>
      <c r="AA71" s="304">
        <v>33.835979653383284</v>
      </c>
      <c r="AB71" s="304">
        <v>34.11634928989028</v>
      </c>
      <c r="AC71" s="304"/>
      <c r="AD71" s="304">
        <v>41.985646194536152</v>
      </c>
      <c r="AE71" s="304">
        <v>40.929828661662988</v>
      </c>
      <c r="AF71" s="304">
        <v>33.172631645151213</v>
      </c>
      <c r="AG71" s="304"/>
      <c r="AH71" s="304">
        <v>32.000963307769844</v>
      </c>
      <c r="AI71" s="304">
        <v>30.004234184621208</v>
      </c>
      <c r="AJ71" s="304">
        <v>15.329869921279094</v>
      </c>
      <c r="AK71" s="304"/>
      <c r="AL71" s="304">
        <v>13.330566549122777</v>
      </c>
      <c r="AM71" s="304">
        <v>11.903267737248228</v>
      </c>
      <c r="AN71" s="304">
        <v>12.951935022514316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846.59999999271054</v>
      </c>
      <c r="C74" s="305">
        <f>SUM(C75:C83)</f>
        <v>896.15000000098007</v>
      </c>
      <c r="D74" s="305">
        <f>SUM(D75:D83)</f>
        <v>955.25600000029203</v>
      </c>
      <c r="E74" s="304"/>
      <c r="F74" s="305">
        <f>SUM(F75:F83)</f>
        <v>15.165233393132644</v>
      </c>
      <c r="G74" s="305">
        <f>SUM(G75:G83)</f>
        <v>20.296236612915809</v>
      </c>
      <c r="H74" s="305">
        <f>SUM(H75:H83)</f>
        <v>30.166465267397196</v>
      </c>
      <c r="I74" s="304"/>
      <c r="J74" s="305">
        <f>SUM(J75:J83)</f>
        <v>124.88779187935414</v>
      </c>
      <c r="K74" s="305">
        <f>SUM(K75:K83)</f>
        <v>165.78868961316127</v>
      </c>
      <c r="L74" s="305">
        <f>SUM(L75:L83)</f>
        <v>247.94731270957544</v>
      </c>
      <c r="M74" s="304"/>
      <c r="N74" s="305">
        <f>SUM(N75:N83)</f>
        <v>220.74612963316747</v>
      </c>
      <c r="O74" s="305">
        <f>SUM(O75:O83)</f>
        <v>241.15436493451196</v>
      </c>
      <c r="P74" s="305">
        <f>SUM(P75:P83)</f>
        <v>257.0211893185749</v>
      </c>
      <c r="Q74" s="304"/>
      <c r="R74" s="305">
        <f>SUM(R75:R83)</f>
        <v>41.484279711079445</v>
      </c>
      <c r="S74" s="305">
        <f>SUM(S75:S83)</f>
        <v>47.062067173471753</v>
      </c>
      <c r="T74" s="305">
        <f>SUM(T75:T83)</f>
        <v>54.418505967630502</v>
      </c>
      <c r="U74" s="304"/>
      <c r="V74" s="305">
        <f>SUM(V75:V83)</f>
        <v>50.182787851068426</v>
      </c>
      <c r="W74" s="305">
        <f>SUM(W75:W83)</f>
        <v>54.243860006962215</v>
      </c>
      <c r="X74" s="305">
        <f>SUM(X75:X83)</f>
        <v>59.21532599711049</v>
      </c>
      <c r="Y74" s="304"/>
      <c r="Z74" s="305">
        <f>SUM(Z75:Z83)</f>
        <v>140.02554454908218</v>
      </c>
      <c r="AA74" s="305">
        <f>SUM(AA75:AA83)</f>
        <v>135.38751636136175</v>
      </c>
      <c r="AB74" s="305">
        <f>SUM(AB75:AB83)</f>
        <v>124.63425076057247</v>
      </c>
      <c r="AC74" s="304"/>
      <c r="AD74" s="305">
        <f>SUM(AD75:AD83)</f>
        <v>129.94542666997037</v>
      </c>
      <c r="AE74" s="305">
        <f>SUM(AE75:AE83)</f>
        <v>117.5545730303561</v>
      </c>
      <c r="AF74" s="305">
        <f>SUM(AF75:AF83)</f>
        <v>87.872994964419334</v>
      </c>
      <c r="AG74" s="304"/>
      <c r="AH74" s="305">
        <f>SUM(AH75:AH83)</f>
        <v>100.23521792525739</v>
      </c>
      <c r="AI74" s="305">
        <f>SUM(AI75:AI83)</f>
        <v>95.393612211394725</v>
      </c>
      <c r="AJ74" s="305">
        <f>SUM(AJ75:AJ83)</f>
        <v>80.716673269651039</v>
      </c>
      <c r="AK74" s="304"/>
      <c r="AL74" s="305">
        <f>SUM(AL75:AL83)</f>
        <v>23.927588380598547</v>
      </c>
      <c r="AM74" s="305">
        <f>SUM(AM75:AM83)</f>
        <v>19.26908005684464</v>
      </c>
      <c r="AN74" s="305">
        <f>SUM(AN75:AN83)</f>
        <v>13.263281745360736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115.80357194106895</v>
      </c>
      <c r="C75" s="305">
        <f t="shared" ref="C75:C83" si="77">SUM(G75,K75,O75,S75,W75,AA75,AE75,AI75,AM75)</f>
        <v>121.25144870046532</v>
      </c>
      <c r="D75" s="305">
        <f t="shared" ref="D75:D83" si="78">SUM(H75,L75,P75,T75,X75,AB75,AF75,AJ75,AN75)</f>
        <v>135.82513602816852</v>
      </c>
      <c r="E75" s="304"/>
      <c r="F75" s="304">
        <v>2.6969687902407191</v>
      </c>
      <c r="G75" s="304">
        <v>3.7154568204966165</v>
      </c>
      <c r="H75" s="304">
        <v>5.7355367609406791</v>
      </c>
      <c r="I75" s="304"/>
      <c r="J75" s="304">
        <v>18.307731961553451</v>
      </c>
      <c r="K75" s="304">
        <v>23.777214524240755</v>
      </c>
      <c r="L75" s="304">
        <v>36.37385462272713</v>
      </c>
      <c r="M75" s="304"/>
      <c r="N75" s="304">
        <v>35.413727472383556</v>
      </c>
      <c r="O75" s="304">
        <v>37.784704515486759</v>
      </c>
      <c r="P75" s="304">
        <v>41.611942520230457</v>
      </c>
      <c r="Q75" s="304"/>
      <c r="R75" s="304">
        <v>4.2933259347435673</v>
      </c>
      <c r="S75" s="304">
        <v>4.5117842941580824</v>
      </c>
      <c r="T75" s="304">
        <v>4.7728743887019336</v>
      </c>
      <c r="U75" s="304"/>
      <c r="V75" s="304">
        <v>8.5555864201959562</v>
      </c>
      <c r="W75" s="304">
        <v>9.1977012136516834</v>
      </c>
      <c r="X75" s="304">
        <v>10.229726154121952</v>
      </c>
      <c r="Y75" s="304"/>
      <c r="Z75" s="304">
        <v>19.218489675803987</v>
      </c>
      <c r="AA75" s="304">
        <v>17.081999148926094</v>
      </c>
      <c r="AB75" s="304">
        <v>15.700279736825227</v>
      </c>
      <c r="AC75" s="304"/>
      <c r="AD75" s="304">
        <v>14.3851768475062</v>
      </c>
      <c r="AE75" s="304">
        <v>12.571300618909534</v>
      </c>
      <c r="AF75" s="304">
        <v>9.5818125608698352</v>
      </c>
      <c r="AG75" s="304"/>
      <c r="AH75" s="304">
        <v>10.355338447306929</v>
      </c>
      <c r="AI75" s="304">
        <v>10.373832475290603</v>
      </c>
      <c r="AJ75" s="304">
        <v>9.8469318733150288</v>
      </c>
      <c r="AK75" s="304"/>
      <c r="AL75" s="304">
        <v>2.5772263913345825</v>
      </c>
      <c r="AM75" s="304">
        <v>2.2374550893052141</v>
      </c>
      <c r="AN75" s="304">
        <v>1.9721774104362688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216.14307364348682</v>
      </c>
      <c r="C76" s="305">
        <f t="shared" si="77"/>
        <v>237.5459730626547</v>
      </c>
      <c r="D76" s="305">
        <f>SUM(H76,L76,P76,T76,X76,AB76,AF76,AJ76,AN76)</f>
        <v>263.4145114473435</v>
      </c>
      <c r="E76" s="304"/>
      <c r="F76" s="304">
        <v>8.3775001420784463</v>
      </c>
      <c r="G76" s="304">
        <v>11.072077539072826</v>
      </c>
      <c r="H76" s="304">
        <v>15.721403735063671</v>
      </c>
      <c r="I76" s="304"/>
      <c r="J76" s="304">
        <v>55.935947859136242</v>
      </c>
      <c r="K76" s="304">
        <v>73.773053985722882</v>
      </c>
      <c r="L76" s="304">
        <v>105.19729928921946</v>
      </c>
      <c r="M76" s="304"/>
      <c r="N76" s="304">
        <v>79.068327080805801</v>
      </c>
      <c r="O76" s="304">
        <v>83.455833329659157</v>
      </c>
      <c r="P76" s="304">
        <v>79.99758884137151</v>
      </c>
      <c r="Q76" s="304"/>
      <c r="R76" s="304">
        <v>7.2968917983984261</v>
      </c>
      <c r="S76" s="304">
        <v>7.8375413124477422</v>
      </c>
      <c r="T76" s="304">
        <v>8.4454566900921151</v>
      </c>
      <c r="U76" s="304"/>
      <c r="V76" s="304">
        <v>12.734151671654322</v>
      </c>
      <c r="W76" s="304">
        <v>13.064579480640344</v>
      </c>
      <c r="X76" s="304">
        <v>13.323086670440167</v>
      </c>
      <c r="Y76" s="304"/>
      <c r="Z76" s="304">
        <v>23.019799029746633</v>
      </c>
      <c r="AA76" s="304">
        <v>21.603848899595778</v>
      </c>
      <c r="AB76" s="304">
        <v>19.858176048047316</v>
      </c>
      <c r="AC76" s="304"/>
      <c r="AD76" s="304">
        <v>17.199661920174606</v>
      </c>
      <c r="AE76" s="304">
        <v>15.173905239704506</v>
      </c>
      <c r="AF76" s="304">
        <v>12.036769584814408</v>
      </c>
      <c r="AG76" s="304"/>
      <c r="AH76" s="304">
        <v>10.403649574515015</v>
      </c>
      <c r="AI76" s="304">
        <v>9.3232024051966089</v>
      </c>
      <c r="AJ76" s="304">
        <v>6.671031377094339</v>
      </c>
      <c r="AK76" s="304"/>
      <c r="AL76" s="304">
        <v>2.107144566977317</v>
      </c>
      <c r="AM76" s="304">
        <v>2.2419308706148593</v>
      </c>
      <c r="AN76" s="304">
        <v>2.1636992112004605</v>
      </c>
    </row>
    <row r="77" spans="1:40" x14ac:dyDescent="0.2">
      <c r="A77" s="13" t="str">
        <f t="shared" si="76"/>
        <v>Associate professional occupations</v>
      </c>
      <c r="B77" s="305">
        <f t="shared" si="79"/>
        <v>162.6990285060609</v>
      </c>
      <c r="C77" s="305">
        <f t="shared" si="77"/>
        <v>164.10607972932692</v>
      </c>
      <c r="D77" s="305">
        <f t="shared" si="78"/>
        <v>180.342583429619</v>
      </c>
      <c r="E77" s="304"/>
      <c r="F77" s="304">
        <v>2.8357774044105666</v>
      </c>
      <c r="G77" s="304">
        <v>3.6277120543620587</v>
      </c>
      <c r="H77" s="304">
        <v>5.6264360226986732</v>
      </c>
      <c r="I77" s="304"/>
      <c r="J77" s="304">
        <v>30.72381030338272</v>
      </c>
      <c r="K77" s="304">
        <v>39.034837488307758</v>
      </c>
      <c r="L77" s="304">
        <v>58.547554020249663</v>
      </c>
      <c r="M77" s="304"/>
      <c r="N77" s="304">
        <v>53.704165073484582</v>
      </c>
      <c r="O77" s="304">
        <v>55.308554004824224</v>
      </c>
      <c r="P77" s="304">
        <v>57.180968062887672</v>
      </c>
      <c r="Q77" s="304"/>
      <c r="R77" s="304">
        <v>9.2773144747861966</v>
      </c>
      <c r="S77" s="304">
        <v>9.7270472266116936</v>
      </c>
      <c r="T77" s="304">
        <v>11.218865361489771</v>
      </c>
      <c r="U77" s="304"/>
      <c r="V77" s="304">
        <v>9.8167251613547961</v>
      </c>
      <c r="W77" s="304">
        <v>9.4882125078177815</v>
      </c>
      <c r="X77" s="304">
        <v>9.214920341010016</v>
      </c>
      <c r="Y77" s="304"/>
      <c r="Z77" s="304">
        <v>24.525105019400453</v>
      </c>
      <c r="AA77" s="304">
        <v>21.620276327229675</v>
      </c>
      <c r="AB77" s="304">
        <v>19.520968928320226</v>
      </c>
      <c r="AC77" s="304"/>
      <c r="AD77" s="304">
        <v>16.907248439360053</v>
      </c>
      <c r="AE77" s="304">
        <v>12.89542270152098</v>
      </c>
      <c r="AF77" s="304">
        <v>8.310319947793344</v>
      </c>
      <c r="AG77" s="304"/>
      <c r="AH77" s="304">
        <v>12.610482270280091</v>
      </c>
      <c r="AI77" s="304">
        <v>10.339882906115895</v>
      </c>
      <c r="AJ77" s="304">
        <v>8.9125052325191501</v>
      </c>
      <c r="AK77" s="304"/>
      <c r="AL77" s="304">
        <v>2.2984003596014317</v>
      </c>
      <c r="AM77" s="304">
        <v>2.0641345125368753</v>
      </c>
      <c r="AN77" s="304">
        <v>1.8100455126504869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116.67903202838018</v>
      </c>
      <c r="C78" s="305">
        <f t="shared" si="77"/>
        <v>111.14983972169162</v>
      </c>
      <c r="D78" s="305">
        <f t="shared" si="78"/>
        <v>100.82245013265991</v>
      </c>
      <c r="E78" s="304"/>
      <c r="F78" s="304">
        <v>0.59961072133265947</v>
      </c>
      <c r="G78" s="304">
        <v>0.83650442122371926</v>
      </c>
      <c r="H78" s="304">
        <v>1.4291205427580562</v>
      </c>
      <c r="I78" s="304"/>
      <c r="J78" s="304">
        <v>9.775121957416804</v>
      </c>
      <c r="K78" s="304">
        <v>13.082074181571828</v>
      </c>
      <c r="L78" s="304">
        <v>21.177865094021197</v>
      </c>
      <c r="M78" s="304"/>
      <c r="N78" s="304">
        <v>25.478130662869166</v>
      </c>
      <c r="O78" s="304">
        <v>29.272897273161604</v>
      </c>
      <c r="P78" s="304">
        <v>34.598279626960355</v>
      </c>
      <c r="Q78" s="304"/>
      <c r="R78" s="304">
        <v>7.8496616571558109</v>
      </c>
      <c r="S78" s="304">
        <v>8.485639061666113</v>
      </c>
      <c r="T78" s="304">
        <v>9.7192384495926181</v>
      </c>
      <c r="U78" s="304"/>
      <c r="V78" s="304">
        <v>9.0553403776641339</v>
      </c>
      <c r="W78" s="304">
        <v>9.9577789128570622</v>
      </c>
      <c r="X78" s="304">
        <v>11.083689704420829</v>
      </c>
      <c r="Y78" s="304"/>
      <c r="Z78" s="304">
        <v>22.497910548838476</v>
      </c>
      <c r="AA78" s="304">
        <v>19.819608993981504</v>
      </c>
      <c r="AB78" s="304">
        <v>12.934395896692653</v>
      </c>
      <c r="AC78" s="304"/>
      <c r="AD78" s="304">
        <v>23.454266332139525</v>
      </c>
      <c r="AE78" s="304">
        <v>17.284860073303655</v>
      </c>
      <c r="AF78" s="304">
        <v>6.6599622400580687</v>
      </c>
      <c r="AG78" s="304"/>
      <c r="AH78" s="304">
        <v>14.814024014839413</v>
      </c>
      <c r="AI78" s="304">
        <v>9.4115083552544316</v>
      </c>
      <c r="AJ78" s="304">
        <v>2.3609354031269283</v>
      </c>
      <c r="AK78" s="304"/>
      <c r="AL78" s="304">
        <v>3.1549657561241871</v>
      </c>
      <c r="AM78" s="304">
        <v>2.9989684486717243</v>
      </c>
      <c r="AN78" s="304">
        <v>0.85896317502920438</v>
      </c>
    </row>
    <row r="79" spans="1:40" x14ac:dyDescent="0.2">
      <c r="A79" s="13" t="str">
        <f t="shared" si="76"/>
        <v>Skilled trades occupations</v>
      </c>
      <c r="B79" s="305">
        <f t="shared" si="79"/>
        <v>34.629976174211627</v>
      </c>
      <c r="C79" s="305">
        <f t="shared" si="77"/>
        <v>38.358720776659567</v>
      </c>
      <c r="D79" s="305">
        <f t="shared" si="78"/>
        <v>40.155488851232278</v>
      </c>
      <c r="E79" s="304"/>
      <c r="F79" s="304">
        <v>0.17350110440608005</v>
      </c>
      <c r="G79" s="304">
        <v>0.28016103461603648</v>
      </c>
      <c r="H79" s="304">
        <v>0.43641266781332566</v>
      </c>
      <c r="I79" s="304"/>
      <c r="J79" s="304">
        <v>1.8373734620978439</v>
      </c>
      <c r="K79" s="304">
        <v>2.9798347901224145</v>
      </c>
      <c r="L79" s="304">
        <v>4.950285690240654</v>
      </c>
      <c r="M79" s="304"/>
      <c r="N79" s="304">
        <v>4.4051482229082302</v>
      </c>
      <c r="O79" s="304">
        <v>5.654455680157219</v>
      </c>
      <c r="P79" s="304">
        <v>6.8368659077366125</v>
      </c>
      <c r="Q79" s="304"/>
      <c r="R79" s="304">
        <v>1.7930576114204995</v>
      </c>
      <c r="S79" s="304">
        <v>2.3421216031029064</v>
      </c>
      <c r="T79" s="304">
        <v>3.0021147217517061</v>
      </c>
      <c r="U79" s="304"/>
      <c r="V79" s="304">
        <v>2.0851097639477705</v>
      </c>
      <c r="W79" s="304">
        <v>2.5341200976926124</v>
      </c>
      <c r="X79" s="304">
        <v>2.9950266703633606</v>
      </c>
      <c r="Y79" s="304"/>
      <c r="Z79" s="304">
        <v>9.1115924610292982</v>
      </c>
      <c r="AA79" s="304">
        <v>9.5134726146007988</v>
      </c>
      <c r="AB79" s="304">
        <v>9.0693623495524047</v>
      </c>
      <c r="AC79" s="304"/>
      <c r="AD79" s="304">
        <v>7.9687013199021113</v>
      </c>
      <c r="AE79" s="304">
        <v>7.8281597140397619</v>
      </c>
      <c r="AF79" s="304">
        <v>6.7085313363146621</v>
      </c>
      <c r="AG79" s="304"/>
      <c r="AH79" s="304">
        <v>4.6683260503372841</v>
      </c>
      <c r="AI79" s="304">
        <v>4.7135587092449054</v>
      </c>
      <c r="AJ79" s="304">
        <v>4.2153208147966987</v>
      </c>
      <c r="AK79" s="304"/>
      <c r="AL79" s="304">
        <v>2.587166178162513</v>
      </c>
      <c r="AM79" s="304">
        <v>2.5128365330829139</v>
      </c>
      <c r="AN79" s="304">
        <v>1.9415686926628513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60.754366640582568</v>
      </c>
      <c r="C80" s="305">
        <f t="shared" si="77"/>
        <v>67.770959623645595</v>
      </c>
      <c r="D80" s="305">
        <f t="shared" si="78"/>
        <v>74.098330578512261</v>
      </c>
      <c r="E80" s="304"/>
      <c r="F80" s="304">
        <v>5.1222508545026579E-2</v>
      </c>
      <c r="G80" s="304">
        <v>8.2689670353770742E-2</v>
      </c>
      <c r="H80" s="304">
        <v>0.15005674873755104</v>
      </c>
      <c r="I80" s="304"/>
      <c r="J80" s="304">
        <v>2.9373709735409239</v>
      </c>
      <c r="K80" s="304">
        <v>4.3351287417705837</v>
      </c>
      <c r="L80" s="304">
        <v>7.0664119301507791</v>
      </c>
      <c r="M80" s="304"/>
      <c r="N80" s="304">
        <v>8.4151152518502581</v>
      </c>
      <c r="O80" s="304">
        <v>11.234780072259344</v>
      </c>
      <c r="P80" s="304">
        <v>14.670792901656364</v>
      </c>
      <c r="Q80" s="304"/>
      <c r="R80" s="304">
        <v>5.3162934756879849</v>
      </c>
      <c r="S80" s="304">
        <v>6.6403495473152061</v>
      </c>
      <c r="T80" s="304">
        <v>8.032269737360819</v>
      </c>
      <c r="U80" s="304"/>
      <c r="V80" s="304">
        <v>3.5143968309883227</v>
      </c>
      <c r="W80" s="304">
        <v>4.540530475453421</v>
      </c>
      <c r="X80" s="304">
        <v>6.0871092604583534</v>
      </c>
      <c r="Y80" s="304"/>
      <c r="Z80" s="304">
        <v>16.142447023641889</v>
      </c>
      <c r="AA80" s="304">
        <v>17.426063160871951</v>
      </c>
      <c r="AB80" s="304">
        <v>18.087063277643335</v>
      </c>
      <c r="AC80" s="304"/>
      <c r="AD80" s="304">
        <v>12.945844928706977</v>
      </c>
      <c r="AE80" s="304">
        <v>12.023281810551937</v>
      </c>
      <c r="AF80" s="304">
        <v>8.893613357709647</v>
      </c>
      <c r="AG80" s="304"/>
      <c r="AH80" s="304">
        <v>9.4244912438939963</v>
      </c>
      <c r="AI80" s="304">
        <v>9.7405449413472418</v>
      </c>
      <c r="AJ80" s="304">
        <v>9.690537162300096</v>
      </c>
      <c r="AK80" s="304"/>
      <c r="AL80" s="304">
        <v>2.007184403727186</v>
      </c>
      <c r="AM80" s="304">
        <v>1.7475912037221366</v>
      </c>
      <c r="AN80" s="304">
        <v>1.4204762024953057</v>
      </c>
    </row>
    <row r="81" spans="1:40" x14ac:dyDescent="0.2">
      <c r="A81" s="13" t="str">
        <f t="shared" si="76"/>
        <v>Sales and customer service occupations</v>
      </c>
      <c r="B81" s="305">
        <f t="shared" si="79"/>
        <v>41.315903345457542</v>
      </c>
      <c r="C81" s="305">
        <f t="shared" si="77"/>
        <v>46.158941016073427</v>
      </c>
      <c r="D81" s="305">
        <f t="shared" si="78"/>
        <v>48.19894879607174</v>
      </c>
      <c r="E81" s="304"/>
      <c r="F81" s="304">
        <v>0.29030825081805739</v>
      </c>
      <c r="G81" s="304">
        <v>0.42650721464825275</v>
      </c>
      <c r="H81" s="304">
        <v>0.66477429495122142</v>
      </c>
      <c r="I81" s="304"/>
      <c r="J81" s="304">
        <v>2.5083365618561753</v>
      </c>
      <c r="K81" s="304">
        <v>3.7009894313510614</v>
      </c>
      <c r="L81" s="304">
        <v>6.075042739120093</v>
      </c>
      <c r="M81" s="304"/>
      <c r="N81" s="304">
        <v>7.9312399576288479</v>
      </c>
      <c r="O81" s="304">
        <v>9.5909875653607006</v>
      </c>
      <c r="P81" s="304">
        <v>11.03415224475364</v>
      </c>
      <c r="Q81" s="304"/>
      <c r="R81" s="304">
        <v>2.3019782441205456</v>
      </c>
      <c r="S81" s="304">
        <v>2.8314204673236443</v>
      </c>
      <c r="T81" s="304">
        <v>3.441115877065029</v>
      </c>
      <c r="U81" s="304"/>
      <c r="V81" s="304">
        <v>2.5078968555071812</v>
      </c>
      <c r="W81" s="304">
        <v>3.1804711127647303</v>
      </c>
      <c r="X81" s="304">
        <v>3.6973278989095006</v>
      </c>
      <c r="Y81" s="304"/>
      <c r="Z81" s="304">
        <v>9.3681332615414892</v>
      </c>
      <c r="AA81" s="304">
        <v>10.077687039190328</v>
      </c>
      <c r="AB81" s="304">
        <v>9.5681361577867658</v>
      </c>
      <c r="AC81" s="304"/>
      <c r="AD81" s="304">
        <v>9.7842777166275532</v>
      </c>
      <c r="AE81" s="304">
        <v>10.300852674871598</v>
      </c>
      <c r="AF81" s="304">
        <v>8.6441567937398105</v>
      </c>
      <c r="AG81" s="304"/>
      <c r="AH81" s="304">
        <v>5.2545443225147874</v>
      </c>
      <c r="AI81" s="304">
        <v>4.732277400695847</v>
      </c>
      <c r="AJ81" s="304">
        <v>4.0365315878940358</v>
      </c>
      <c r="AK81" s="304"/>
      <c r="AL81" s="304">
        <v>1.3691881748429056</v>
      </c>
      <c r="AM81" s="304">
        <v>1.3177481098672617</v>
      </c>
      <c r="AN81" s="304">
        <v>1.0377112018516408</v>
      </c>
    </row>
    <row r="82" spans="1:40" x14ac:dyDescent="0.2">
      <c r="A82" s="13" t="str">
        <f t="shared" si="76"/>
        <v>Process, plant and machine operatives</v>
      </c>
      <c r="B82" s="305">
        <f t="shared" si="79"/>
        <v>18.123479308223459</v>
      </c>
      <c r="C82" s="305">
        <f t="shared" si="77"/>
        <v>22.18941092431248</v>
      </c>
      <c r="D82" s="305">
        <f t="shared" si="78"/>
        <v>23.823938510624735</v>
      </c>
      <c r="E82" s="304"/>
      <c r="F82" s="304">
        <v>4.6464129533645933E-2</v>
      </c>
      <c r="G82" s="304">
        <v>8.905420288708038E-2</v>
      </c>
      <c r="H82" s="304">
        <v>0.14286011608813612</v>
      </c>
      <c r="I82" s="304"/>
      <c r="J82" s="304">
        <v>0.72571284821204152</v>
      </c>
      <c r="K82" s="304">
        <v>1.1845219068530171</v>
      </c>
      <c r="L82" s="304">
        <v>1.9682456842343559</v>
      </c>
      <c r="M82" s="304"/>
      <c r="N82" s="304">
        <v>1.2951473731673826</v>
      </c>
      <c r="O82" s="304">
        <v>1.9800146051300538</v>
      </c>
      <c r="P82" s="304">
        <v>2.6391532215030833</v>
      </c>
      <c r="Q82" s="304"/>
      <c r="R82" s="304">
        <v>0.61216688412686993</v>
      </c>
      <c r="S82" s="304">
        <v>0.86928644172095415</v>
      </c>
      <c r="T82" s="304">
        <v>1.2479574141135683</v>
      </c>
      <c r="U82" s="304"/>
      <c r="V82" s="304">
        <v>0.53703089333943532</v>
      </c>
      <c r="W82" s="304">
        <v>0.77820105222838087</v>
      </c>
      <c r="X82" s="304">
        <v>0.95297724454925159</v>
      </c>
      <c r="Y82" s="304"/>
      <c r="Z82" s="304">
        <v>4.6228993927962074</v>
      </c>
      <c r="AA82" s="304">
        <v>6.1464882130563536</v>
      </c>
      <c r="AB82" s="304">
        <v>7.9035102598870939</v>
      </c>
      <c r="AC82" s="304"/>
      <c r="AD82" s="304">
        <v>3.9119510009110368</v>
      </c>
      <c r="AE82" s="304">
        <v>4.5745920663878961</v>
      </c>
      <c r="AF82" s="304">
        <v>4.5034054784592081</v>
      </c>
      <c r="AG82" s="304"/>
      <c r="AH82" s="304">
        <v>3.9391391433042546</v>
      </c>
      <c r="AI82" s="304">
        <v>4.4317211439308881</v>
      </c>
      <c r="AJ82" s="304">
        <v>3.3978129888468156</v>
      </c>
      <c r="AK82" s="304"/>
      <c r="AL82" s="304">
        <v>2.4329676428325837</v>
      </c>
      <c r="AM82" s="304">
        <v>2.1355312921178569</v>
      </c>
      <c r="AN82" s="304">
        <v>1.0680161029432202</v>
      </c>
    </row>
    <row r="83" spans="1:40" x14ac:dyDescent="0.2">
      <c r="A83" s="38" t="str">
        <f t="shared" si="76"/>
        <v>Elementary occupations</v>
      </c>
      <c r="B83" s="307">
        <f t="shared" si="79"/>
        <v>80.451568405238561</v>
      </c>
      <c r="C83" s="307">
        <f t="shared" si="77"/>
        <v>87.618626446150543</v>
      </c>
      <c r="D83" s="307">
        <f t="shared" si="78"/>
        <v>88.574612226060196</v>
      </c>
      <c r="E83" s="307"/>
      <c r="F83" s="307">
        <v>9.3880341767442935E-2</v>
      </c>
      <c r="G83" s="307">
        <v>0.16607365525545204</v>
      </c>
      <c r="H83" s="307">
        <v>0.25986437834588072</v>
      </c>
      <c r="I83" s="307"/>
      <c r="J83" s="307">
        <v>2.1363859521579553</v>
      </c>
      <c r="K83" s="307">
        <v>3.9210345632209718</v>
      </c>
      <c r="L83" s="307">
        <v>6.5907536396120889</v>
      </c>
      <c r="M83" s="307"/>
      <c r="N83" s="307">
        <v>5.035128538069622</v>
      </c>
      <c r="O83" s="307">
        <v>6.872137888472869</v>
      </c>
      <c r="P83" s="307">
        <v>8.4514459914752109</v>
      </c>
      <c r="Q83" s="307"/>
      <c r="R83" s="307">
        <v>2.7435896306395322</v>
      </c>
      <c r="S83" s="307">
        <v>3.8168772191254186</v>
      </c>
      <c r="T83" s="307">
        <v>4.5386133274629357</v>
      </c>
      <c r="U83" s="307"/>
      <c r="V83" s="307">
        <v>1.3765498764165025</v>
      </c>
      <c r="W83" s="307">
        <v>1.502265153856194</v>
      </c>
      <c r="X83" s="307">
        <v>1.6314620528370649</v>
      </c>
      <c r="Y83" s="307"/>
      <c r="Z83" s="307">
        <v>11.51916813628374</v>
      </c>
      <c r="AA83" s="307">
        <v>12.098071963909277</v>
      </c>
      <c r="AB83" s="307">
        <v>11.992358105817441</v>
      </c>
      <c r="AC83" s="307"/>
      <c r="AD83" s="307">
        <v>23.388298164642311</v>
      </c>
      <c r="AE83" s="307">
        <v>24.90219813106625</v>
      </c>
      <c r="AF83" s="307">
        <v>22.534423664660334</v>
      </c>
      <c r="AG83" s="307"/>
      <c r="AH83" s="307">
        <v>28.765222858265616</v>
      </c>
      <c r="AI83" s="307">
        <v>32.327083874318312</v>
      </c>
      <c r="AJ83" s="307">
        <v>31.585066829757945</v>
      </c>
      <c r="AK83" s="307"/>
      <c r="AL83" s="307">
        <v>5.3933449069958428</v>
      </c>
      <c r="AM83" s="307">
        <v>2.0128839969257966</v>
      </c>
      <c r="AN83" s="307">
        <v>0.99062423609129591</v>
      </c>
    </row>
    <row r="84" spans="1:40" x14ac:dyDescent="0.2">
      <c r="B84" s="31"/>
      <c r="C84" s="31"/>
      <c r="D84" s="31"/>
    </row>
    <row r="85" spans="1:40" ht="15.75" x14ac:dyDescent="0.25">
      <c r="A85" s="18" t="str">
        <f>CONCATENATE(A1," (Continued)")</f>
        <v>Basic Table 1  Employment by Industry Sector, Occupation Group and Qualification, 2020-2035, South West (Continued)</v>
      </c>
    </row>
    <row r="86" spans="1:40" ht="12.75" customHeight="1" x14ac:dyDescent="0.25">
      <c r="A86" s="18"/>
    </row>
    <row r="87" spans="1:40" ht="12.75" customHeight="1" x14ac:dyDescent="0.25">
      <c r="A87" s="18"/>
    </row>
    <row r="88" spans="1:40" ht="26.25" customHeight="1" x14ac:dyDescent="0.2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79" t="str">
        <f>N4</f>
        <v>RQF6 First degree</v>
      </c>
      <c r="O88" s="379"/>
      <c r="P88" s="379"/>
      <c r="Q88" s="77"/>
      <c r="R88" s="379" t="str">
        <f>R4</f>
        <v>RQF5 Foundation degree;Nursing;Teaching</v>
      </c>
      <c r="S88" s="379"/>
      <c r="T88" s="379"/>
      <c r="U88" s="77"/>
      <c r="V88" s="379" t="str">
        <f>V4</f>
        <v>RQF4 HE below degree level</v>
      </c>
      <c r="W88" s="379"/>
      <c r="X88" s="379"/>
      <c r="Y88" s="77"/>
      <c r="Z88" s="379" t="str">
        <f>Z4</f>
        <v>RQF3 A level &amp; equivalent</v>
      </c>
      <c r="AA88" s="379"/>
      <c r="AB88" s="379"/>
      <c r="AC88" s="77"/>
      <c r="AD88" s="379" t="str">
        <f>AD4</f>
        <v>RQF2 GCSE(A-C) &amp; equivalent</v>
      </c>
      <c r="AE88" s="379"/>
      <c r="AF88" s="379"/>
      <c r="AG88" s="77"/>
      <c r="AH88" s="379" t="str">
        <f>AH4</f>
        <v>RQF1 GCSE(below grade C) &amp; equivalent</v>
      </c>
      <c r="AI88" s="379"/>
      <c r="AJ88" s="379"/>
      <c r="AK88" s="77"/>
      <c r="AL88" s="77"/>
      <c r="AM88" s="78" t="str">
        <f>AL4</f>
        <v>No Qualification</v>
      </c>
      <c r="AN88" s="77"/>
    </row>
    <row r="89" spans="1:40" x14ac:dyDescent="0.2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2">
      <c r="B90" s="31"/>
      <c r="C90" s="31"/>
      <c r="D90" s="31"/>
    </row>
    <row r="91" spans="1:40" x14ac:dyDescent="0.2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2">
      <c r="A92" s="13" t="str">
        <f t="shared" ref="A92:A101" si="80">A8</f>
        <v>All occupations</v>
      </c>
      <c r="B92" s="305">
        <f>SUM(B93:B101)</f>
        <v>726.15999999232395</v>
      </c>
      <c r="C92" s="305">
        <f>SUM(C93:C101)</f>
        <v>772.82499996972422</v>
      </c>
      <c r="D92" s="305">
        <f>SUM(D93:D101)</f>
        <v>842.91999999948894</v>
      </c>
      <c r="E92" s="304"/>
      <c r="F92" s="305">
        <f>SUM(F93:F101)</f>
        <v>24.926491249836968</v>
      </c>
      <c r="G92" s="305">
        <f>SUM(G93:G101)</f>
        <v>31.94977748278135</v>
      </c>
      <c r="H92" s="305">
        <f>SUM(H93:H101)</f>
        <v>45.952368331122045</v>
      </c>
      <c r="I92" s="304"/>
      <c r="J92" s="305">
        <f>SUM(J93:J101)</f>
        <v>139.01657510655781</v>
      </c>
      <c r="K92" s="305">
        <f>SUM(K93:K101)</f>
        <v>172.62389666949488</v>
      </c>
      <c r="L92" s="305">
        <f>SUM(L93:L101)</f>
        <v>239.343115533146</v>
      </c>
      <c r="M92" s="304"/>
      <c r="N92" s="305">
        <f>SUM(N93:N101)</f>
        <v>172.93146889982677</v>
      </c>
      <c r="O92" s="305">
        <f>SUM(O93:O101)</f>
        <v>191.49529470221253</v>
      </c>
      <c r="P92" s="305">
        <f>SUM(P93:P101)</f>
        <v>209.88645427459571</v>
      </c>
      <c r="Q92" s="304"/>
      <c r="R92" s="305">
        <f>SUM(R93:R101)</f>
        <v>65.091844891980614</v>
      </c>
      <c r="S92" s="305">
        <f>SUM(S93:S101)</f>
        <v>59.23642703024445</v>
      </c>
      <c r="T92" s="305">
        <f>SUM(T93:T101)</f>
        <v>53.62958360534823</v>
      </c>
      <c r="U92" s="304"/>
      <c r="V92" s="305">
        <f>SUM(V93:V101)</f>
        <v>31.406999109542706</v>
      </c>
      <c r="W92" s="305">
        <f>SUM(W93:W101)</f>
        <v>33.617507687923407</v>
      </c>
      <c r="X92" s="305">
        <f>SUM(X93:X101)</f>
        <v>36.143924568851979</v>
      </c>
      <c r="Y92" s="304"/>
      <c r="Z92" s="305">
        <f>SUM(Z93:Z101)</f>
        <v>148.38700231304443</v>
      </c>
      <c r="AA92" s="305">
        <f>SUM(AA93:AA101)</f>
        <v>161.34501475187977</v>
      </c>
      <c r="AB92" s="305">
        <f>SUM(AB93:AB101)</f>
        <v>173.78625822733662</v>
      </c>
      <c r="AC92" s="304"/>
      <c r="AD92" s="305">
        <f>SUM(AD93:AD101)</f>
        <v>99.928184642492468</v>
      </c>
      <c r="AE92" s="305">
        <f>SUM(AE93:AE101)</f>
        <v>88.683679943234722</v>
      </c>
      <c r="AF92" s="305">
        <f>SUM(AF93:AF101)</f>
        <v>60.069876847728025</v>
      </c>
      <c r="AG92" s="304"/>
      <c r="AH92" s="305">
        <f>SUM(AH93:AH101)</f>
        <v>38.864062597160689</v>
      </c>
      <c r="AI92" s="305">
        <f>SUM(AI93:AI101)</f>
        <v>29.26723763525764</v>
      </c>
      <c r="AJ92" s="305">
        <f>SUM(AJ93:AJ101)</f>
        <v>20.303139897949521</v>
      </c>
      <c r="AK92" s="304"/>
      <c r="AL92" s="305">
        <f>SUM(AL93:AL101)</f>
        <v>5.6073711818814793</v>
      </c>
      <c r="AM92" s="305">
        <f>SUM(AM93:AM101)</f>
        <v>4.6061640666956087</v>
      </c>
      <c r="AN92" s="305">
        <f>SUM(AN93:AN101)</f>
        <v>3.8052787134108605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35.733249869120826</v>
      </c>
      <c r="C93" s="305">
        <f t="shared" ref="C93:D93" si="81">SUM(G93,K93,O93,S93,W93,AA93,AE93,AI93,AM93)</f>
        <v>37.811714684162176</v>
      </c>
      <c r="D93" s="305">
        <f t="shared" si="81"/>
        <v>44.102410862960156</v>
      </c>
      <c r="E93" s="304"/>
      <c r="F93" s="304">
        <v>0.76497714087132429</v>
      </c>
      <c r="G93" s="304">
        <v>1.0089422393857523</v>
      </c>
      <c r="H93" s="304">
        <v>1.6653360410865781</v>
      </c>
      <c r="I93" s="304"/>
      <c r="J93" s="304">
        <v>7.1443529435816275</v>
      </c>
      <c r="K93" s="304">
        <v>8.8692675086491768</v>
      </c>
      <c r="L93" s="304">
        <v>12.948889116507862</v>
      </c>
      <c r="M93" s="304"/>
      <c r="N93" s="304">
        <v>10.402480777422605</v>
      </c>
      <c r="O93" s="304">
        <v>11.11722970387742</v>
      </c>
      <c r="P93" s="304">
        <v>12.841311704200846</v>
      </c>
      <c r="Q93" s="304"/>
      <c r="R93" s="304">
        <v>5.8444498899016164</v>
      </c>
      <c r="S93" s="304">
        <v>6.1611999494990313</v>
      </c>
      <c r="T93" s="304">
        <v>6.9192002632491887</v>
      </c>
      <c r="U93" s="304"/>
      <c r="V93" s="304">
        <v>1.4755450197550257</v>
      </c>
      <c r="W93" s="304">
        <v>1.4706014551090938</v>
      </c>
      <c r="X93" s="304">
        <v>1.5290686427161491</v>
      </c>
      <c r="Y93" s="304"/>
      <c r="Z93" s="304">
        <v>6.103037799698253</v>
      </c>
      <c r="AA93" s="304">
        <v>5.7254541847869369</v>
      </c>
      <c r="AB93" s="304">
        <v>5.470692152715543</v>
      </c>
      <c r="AC93" s="304"/>
      <c r="AD93" s="304">
        <v>2.5416964683067351</v>
      </c>
      <c r="AE93" s="304">
        <v>2.163151965842173</v>
      </c>
      <c r="AF93" s="304">
        <v>1.7412656105774778</v>
      </c>
      <c r="AG93" s="304"/>
      <c r="AH93" s="304">
        <v>0.97860558459947855</v>
      </c>
      <c r="AI93" s="304">
        <v>0.82051917392603191</v>
      </c>
      <c r="AJ93" s="304">
        <v>0.58909728265138095</v>
      </c>
      <c r="AK93" s="304"/>
      <c r="AL93" s="304">
        <v>0.47810424498416221</v>
      </c>
      <c r="AM93" s="304">
        <v>0.47534850308655974</v>
      </c>
      <c r="AN93" s="304">
        <v>0.39755004925512949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292.35012546003162</v>
      </c>
      <c r="C94" s="305">
        <f t="shared" ref="C94:C101" si="83">SUM(G94,K94,O94,S94,W94,AA94,AE94,AI94,AM94)</f>
        <v>321.79411573384959</v>
      </c>
      <c r="D94" s="305">
        <f t="shared" ref="D94:D101" si="84">SUM(H94,L94,P94,T94,X94,AB94,AF94,AJ94,AN94)</f>
        <v>369.72294129081615</v>
      </c>
      <c r="E94" s="305"/>
      <c r="F94" s="304">
        <v>22.485875778951684</v>
      </c>
      <c r="G94" s="304">
        <v>28.663451493340894</v>
      </c>
      <c r="H94" s="304">
        <v>40.461769663117792</v>
      </c>
      <c r="I94" s="304"/>
      <c r="J94" s="304">
        <v>105.55605604469112</v>
      </c>
      <c r="K94" s="304">
        <v>128.96455287247161</v>
      </c>
      <c r="L94" s="304">
        <v>172.65981767909778</v>
      </c>
      <c r="M94" s="304"/>
      <c r="N94" s="304">
        <v>97.492029163210915</v>
      </c>
      <c r="O94" s="304">
        <v>104.35891836170708</v>
      </c>
      <c r="P94" s="304">
        <v>106.45185223720239</v>
      </c>
      <c r="Q94" s="304"/>
      <c r="R94" s="304">
        <v>19.330601668395833</v>
      </c>
      <c r="S94" s="304">
        <v>12.020931316474039</v>
      </c>
      <c r="T94" s="304">
        <v>5.9060327758957589</v>
      </c>
      <c r="U94" s="304"/>
      <c r="V94" s="304">
        <v>6.5007992320335202</v>
      </c>
      <c r="W94" s="304">
        <v>6.862159930289998</v>
      </c>
      <c r="X94" s="304">
        <v>7.1716661552763501</v>
      </c>
      <c r="Y94" s="304"/>
      <c r="Z94" s="304">
        <v>20.124132600986385</v>
      </c>
      <c r="AA94" s="304">
        <v>21.67284754397555</v>
      </c>
      <c r="AB94" s="304">
        <v>23.368329605364618</v>
      </c>
      <c r="AC94" s="304"/>
      <c r="AD94" s="304">
        <v>11.909401922951748</v>
      </c>
      <c r="AE94" s="304">
        <v>10.742340863758251</v>
      </c>
      <c r="AF94" s="304">
        <v>7.3458153434706261</v>
      </c>
      <c r="AG94" s="304"/>
      <c r="AH94" s="304">
        <v>8.0827380159066404</v>
      </c>
      <c r="AI94" s="304">
        <v>7.613700498140008</v>
      </c>
      <c r="AJ94" s="304">
        <v>5.7618413195070408</v>
      </c>
      <c r="AK94" s="304"/>
      <c r="AL94" s="304">
        <v>0.86849103290374741</v>
      </c>
      <c r="AM94" s="304">
        <v>0.89521285369216086</v>
      </c>
      <c r="AN94" s="304">
        <v>0.59581651188380036</v>
      </c>
    </row>
    <row r="95" spans="1:40" x14ac:dyDescent="0.2">
      <c r="A95" s="13" t="str">
        <f t="shared" si="80"/>
        <v>Associate professional occupations</v>
      </c>
      <c r="B95" s="305">
        <f t="shared" si="82"/>
        <v>101.76597825753221</v>
      </c>
      <c r="C95" s="305">
        <f t="shared" si="83"/>
        <v>106.34817484260536</v>
      </c>
      <c r="D95" s="305">
        <f t="shared" si="84"/>
        <v>118.60772856348981</v>
      </c>
      <c r="E95" s="305"/>
      <c r="F95" s="304">
        <v>0.98657582578404257</v>
      </c>
      <c r="G95" s="304">
        <v>1.3130836217777484</v>
      </c>
      <c r="H95" s="304">
        <v>2.276193667070884</v>
      </c>
      <c r="I95" s="304"/>
      <c r="J95" s="304">
        <v>13.66971235185116</v>
      </c>
      <c r="K95" s="304">
        <v>17.347049120450272</v>
      </c>
      <c r="L95" s="304">
        <v>26.807947595486169</v>
      </c>
      <c r="M95" s="304"/>
      <c r="N95" s="304">
        <v>28.699288958579814</v>
      </c>
      <c r="O95" s="304">
        <v>32.829004959077473</v>
      </c>
      <c r="P95" s="304">
        <v>39.809199049640831</v>
      </c>
      <c r="Q95" s="304"/>
      <c r="R95" s="304">
        <v>12.647964730867631</v>
      </c>
      <c r="S95" s="304">
        <v>11.142861381204192</v>
      </c>
      <c r="T95" s="304">
        <v>9.1889784587760275</v>
      </c>
      <c r="U95" s="304"/>
      <c r="V95" s="304">
        <v>5.5775682885425857</v>
      </c>
      <c r="W95" s="304">
        <v>5.4437329527422946</v>
      </c>
      <c r="X95" s="304">
        <v>5.8856714415826357</v>
      </c>
      <c r="Y95" s="304"/>
      <c r="Z95" s="304">
        <v>20.519111300520684</v>
      </c>
      <c r="AA95" s="304">
        <v>20.853854131121238</v>
      </c>
      <c r="AB95" s="304">
        <v>22.253037868399449</v>
      </c>
      <c r="AC95" s="304"/>
      <c r="AD95" s="304">
        <v>12.940706671592929</v>
      </c>
      <c r="AE95" s="304">
        <v>11.220516126329205</v>
      </c>
      <c r="AF95" s="304">
        <v>7.4695279667263081</v>
      </c>
      <c r="AG95" s="304"/>
      <c r="AH95" s="304">
        <v>6.1412889302233769</v>
      </c>
      <c r="AI95" s="304">
        <v>5.6803330398037355</v>
      </c>
      <c r="AJ95" s="304">
        <v>4.5471045533721073</v>
      </c>
      <c r="AK95" s="304"/>
      <c r="AL95" s="304">
        <v>0.58376119956997141</v>
      </c>
      <c r="AM95" s="304">
        <v>0.51773951009919916</v>
      </c>
      <c r="AN95" s="304">
        <v>0.37006796243540613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62.773960876645148</v>
      </c>
      <c r="C96" s="305">
        <f t="shared" si="83"/>
        <v>55.56829962885007</v>
      </c>
      <c r="D96" s="305">
        <f t="shared" si="84"/>
        <v>41.715595115587249</v>
      </c>
      <c r="E96" s="305"/>
      <c r="F96" s="304">
        <v>0.40215990259506318</v>
      </c>
      <c r="G96" s="304">
        <v>0.52063202457580715</v>
      </c>
      <c r="H96" s="304">
        <v>0.82646332944602563</v>
      </c>
      <c r="I96" s="304"/>
      <c r="J96" s="304">
        <v>4.4758745990307576</v>
      </c>
      <c r="K96" s="304">
        <v>5.8003655735073378</v>
      </c>
      <c r="L96" s="304">
        <v>7.3050294285333441</v>
      </c>
      <c r="M96" s="304"/>
      <c r="N96" s="304">
        <v>11.46526433138612</v>
      </c>
      <c r="O96" s="304">
        <v>12.73711208159412</v>
      </c>
      <c r="P96" s="304">
        <v>13.185898100699271</v>
      </c>
      <c r="Q96" s="304"/>
      <c r="R96" s="304">
        <v>6.9295485812847062</v>
      </c>
      <c r="S96" s="304">
        <v>7.8640441718485929</v>
      </c>
      <c r="T96" s="304">
        <v>8.0907757727871328</v>
      </c>
      <c r="U96" s="304"/>
      <c r="V96" s="304">
        <v>4.304655548952546</v>
      </c>
      <c r="W96" s="304">
        <v>4.4273930171832987</v>
      </c>
      <c r="X96" s="304">
        <v>3.9119405779008933</v>
      </c>
      <c r="Y96" s="304"/>
      <c r="Z96" s="304">
        <v>14.696452295570678</v>
      </c>
      <c r="AA96" s="304">
        <v>13.987450870049853</v>
      </c>
      <c r="AB96" s="304">
        <v>7.1423558213254026</v>
      </c>
      <c r="AC96" s="304"/>
      <c r="AD96" s="304">
        <v>12.116510071536341</v>
      </c>
      <c r="AE96" s="304">
        <v>7.0408849312271915</v>
      </c>
      <c r="AF96" s="304">
        <v>1.0699758382121636</v>
      </c>
      <c r="AG96" s="304"/>
      <c r="AH96" s="304">
        <v>7.782898443234509</v>
      </c>
      <c r="AI96" s="304">
        <v>3.0220829128205406</v>
      </c>
      <c r="AJ96" s="304">
        <v>0.11490540785544773</v>
      </c>
      <c r="AK96" s="304"/>
      <c r="AL96" s="304">
        <v>0.60059710305443648</v>
      </c>
      <c r="AM96" s="304">
        <v>0.16833404604332708</v>
      </c>
      <c r="AN96" s="304">
        <v>6.8250838827568619E-2</v>
      </c>
    </row>
    <row r="97" spans="1:40" x14ac:dyDescent="0.2">
      <c r="A97" s="13" t="str">
        <f t="shared" si="80"/>
        <v>Skilled trades occupations</v>
      </c>
      <c r="B97" s="305">
        <f t="shared" si="82"/>
        <v>8.3318809573100072</v>
      </c>
      <c r="C97" s="305">
        <f t="shared" si="83"/>
        <v>8.3494278578229064</v>
      </c>
      <c r="D97" s="305">
        <f t="shared" si="84"/>
        <v>7.9700833968972562</v>
      </c>
      <c r="E97" s="304"/>
      <c r="F97" s="304">
        <v>6.5049562032874791E-2</v>
      </c>
      <c r="G97" s="304">
        <v>8.6505397450239829E-2</v>
      </c>
      <c r="H97" s="304">
        <v>0.13600382230301222</v>
      </c>
      <c r="I97" s="304"/>
      <c r="J97" s="304">
        <v>0.22279067783146433</v>
      </c>
      <c r="K97" s="304">
        <v>0.35999025538350343</v>
      </c>
      <c r="L97" s="304">
        <v>0.62865915979517117</v>
      </c>
      <c r="M97" s="304"/>
      <c r="N97" s="304">
        <v>0.96733419011541888</v>
      </c>
      <c r="O97" s="304">
        <v>1.2857615561655857</v>
      </c>
      <c r="P97" s="304">
        <v>1.5834470324514087</v>
      </c>
      <c r="Q97" s="304"/>
      <c r="R97" s="304">
        <v>0.3881655107234267</v>
      </c>
      <c r="S97" s="304">
        <v>0.47184533004695217</v>
      </c>
      <c r="T97" s="304">
        <v>0.58970237863208852</v>
      </c>
      <c r="U97" s="304"/>
      <c r="V97" s="304">
        <v>0.37702511205215206</v>
      </c>
      <c r="W97" s="304">
        <v>0.43052467447187964</v>
      </c>
      <c r="X97" s="304">
        <v>0.51100936131377961</v>
      </c>
      <c r="Y97" s="304"/>
      <c r="Z97" s="304">
        <v>1.9930712532428314</v>
      </c>
      <c r="AA97" s="304">
        <v>1.8046978525129476</v>
      </c>
      <c r="AB97" s="304">
        <v>1.4098515896967592</v>
      </c>
      <c r="AC97" s="304"/>
      <c r="AD97" s="304">
        <v>2.4570705254614125</v>
      </c>
      <c r="AE97" s="304">
        <v>2.072654545129978</v>
      </c>
      <c r="AF97" s="304">
        <v>1.3844873242632694</v>
      </c>
      <c r="AG97" s="304"/>
      <c r="AH97" s="304">
        <v>1.5244326484062918</v>
      </c>
      <c r="AI97" s="304">
        <v>1.504787432488105</v>
      </c>
      <c r="AJ97" s="304">
        <v>1.4819441611076369</v>
      </c>
      <c r="AK97" s="304"/>
      <c r="AL97" s="304">
        <v>0.33694147744413444</v>
      </c>
      <c r="AM97" s="304">
        <v>0.33266081417371596</v>
      </c>
      <c r="AN97" s="304">
        <v>0.24497856733413051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186.60855200917811</v>
      </c>
      <c r="C98" s="305">
        <f t="shared" si="83"/>
        <v>204.35468496947686</v>
      </c>
      <c r="D98" s="305">
        <f t="shared" si="84"/>
        <v>226.90987482566939</v>
      </c>
      <c r="E98" s="304"/>
      <c r="F98" s="304">
        <v>0.10296529858524965</v>
      </c>
      <c r="G98" s="304">
        <v>0.15429660211389068</v>
      </c>
      <c r="H98" s="304">
        <v>0.27242655202584759</v>
      </c>
      <c r="I98" s="304"/>
      <c r="J98" s="304">
        <v>6.6826678019451196</v>
      </c>
      <c r="K98" s="304">
        <v>9.4548935882108758</v>
      </c>
      <c r="L98" s="304">
        <v>16.183313005502921</v>
      </c>
      <c r="M98" s="304"/>
      <c r="N98" s="304">
        <v>20.720703721347117</v>
      </c>
      <c r="O98" s="304">
        <v>25.245006815766647</v>
      </c>
      <c r="P98" s="304">
        <v>31.41092315041729</v>
      </c>
      <c r="Q98" s="304"/>
      <c r="R98" s="304">
        <v>17.874697338922143</v>
      </c>
      <c r="S98" s="304">
        <v>19.172889573036088</v>
      </c>
      <c r="T98" s="304">
        <v>20.120394537875736</v>
      </c>
      <c r="U98" s="304"/>
      <c r="V98" s="304">
        <v>11.393136215173008</v>
      </c>
      <c r="W98" s="304">
        <v>12.761483283326116</v>
      </c>
      <c r="X98" s="304">
        <v>14.576116099819057</v>
      </c>
      <c r="Y98" s="304"/>
      <c r="Z98" s="304">
        <v>76.30836417196987</v>
      </c>
      <c r="AA98" s="304">
        <v>88.21475745777191</v>
      </c>
      <c r="AB98" s="304">
        <v>105.96214307570625</v>
      </c>
      <c r="AC98" s="304"/>
      <c r="AD98" s="304">
        <v>47.056266602285483</v>
      </c>
      <c r="AE98" s="304">
        <v>45.1673424710348</v>
      </c>
      <c r="AF98" s="304">
        <v>33.706942052355288</v>
      </c>
      <c r="AG98" s="304"/>
      <c r="AH98" s="304">
        <v>5.7593214891008344</v>
      </c>
      <c r="AI98" s="304">
        <v>3.61583844902544</v>
      </c>
      <c r="AJ98" s="304">
        <v>3.9527226118659793</v>
      </c>
      <c r="AK98" s="304"/>
      <c r="AL98" s="304">
        <v>0.71042936984927696</v>
      </c>
      <c r="AM98" s="304">
        <v>0.56817672919110385</v>
      </c>
      <c r="AN98" s="304">
        <v>0.72489374010104768</v>
      </c>
    </row>
    <row r="99" spans="1:40" x14ac:dyDescent="0.2">
      <c r="A99" s="13" t="str">
        <f t="shared" si="80"/>
        <v>Sales and customer service occupations</v>
      </c>
      <c r="B99" s="305">
        <f t="shared" si="82"/>
        <v>7.9000389364130781</v>
      </c>
      <c r="C99" s="305">
        <f t="shared" si="83"/>
        <v>9.1370053209935609</v>
      </c>
      <c r="D99" s="305">
        <f>SUM(H99,L99,P99,T99,X99,AB99,AF99,AJ99,AN99)</f>
        <v>9.5437603983918802</v>
      </c>
      <c r="E99" s="304"/>
      <c r="F99" s="304">
        <v>4.2676054009181189E-2</v>
      </c>
      <c r="G99" s="304">
        <v>6.6022752888051456E-2</v>
      </c>
      <c r="H99" s="304">
        <v>0.10900206271451283</v>
      </c>
      <c r="I99" s="304"/>
      <c r="J99" s="304">
        <v>0.80939847415862343</v>
      </c>
      <c r="K99" s="304">
        <v>1.1510451313768899</v>
      </c>
      <c r="L99" s="304">
        <v>1.7423210483230169</v>
      </c>
      <c r="M99" s="304"/>
      <c r="N99" s="304">
        <v>1.8048097294794052</v>
      </c>
      <c r="O99" s="304">
        <v>2.216605917060154</v>
      </c>
      <c r="P99" s="304">
        <v>2.5208422879562642</v>
      </c>
      <c r="Q99" s="304"/>
      <c r="R99" s="304">
        <v>0.9682268849892367</v>
      </c>
      <c r="S99" s="304">
        <v>1.0546190319727284</v>
      </c>
      <c r="T99" s="304">
        <v>1.1036297513102475</v>
      </c>
      <c r="U99" s="304"/>
      <c r="V99" s="304">
        <v>0.59007216722009392</v>
      </c>
      <c r="W99" s="304">
        <v>0.71924183239899275</v>
      </c>
      <c r="X99" s="304">
        <v>0.82239728641990539</v>
      </c>
      <c r="Y99" s="304"/>
      <c r="Z99" s="304">
        <v>1.7443685642470335</v>
      </c>
      <c r="AA99" s="304">
        <v>2.0419087514333496</v>
      </c>
      <c r="AB99" s="304">
        <v>2.1237846583567328</v>
      </c>
      <c r="AC99" s="304"/>
      <c r="AD99" s="304">
        <v>1.299542097825954</v>
      </c>
      <c r="AE99" s="304">
        <v>1.2462855733040021</v>
      </c>
      <c r="AF99" s="304">
        <v>0.60118561332167486</v>
      </c>
      <c r="AG99" s="304"/>
      <c r="AH99" s="304">
        <v>0.48844965724125194</v>
      </c>
      <c r="AI99" s="304">
        <v>0.44933676056304178</v>
      </c>
      <c r="AJ99" s="304">
        <v>0.29165353539737182</v>
      </c>
      <c r="AK99" s="304"/>
      <c r="AL99" s="304">
        <v>0.15249530724229859</v>
      </c>
      <c r="AM99" s="304">
        <v>0.19193956999635084</v>
      </c>
      <c r="AN99" s="304">
        <v>0.22894415459215434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6.5134524041582544</v>
      </c>
      <c r="C100" s="305">
        <f t="shared" si="83"/>
        <v>7.5289923371577068</v>
      </c>
      <c r="D100" s="305">
        <f t="shared" si="84"/>
        <v>7.2100667566276639</v>
      </c>
      <c r="E100" s="304"/>
      <c r="F100" s="304">
        <v>5.5182440012497919E-2</v>
      </c>
      <c r="G100" s="304">
        <v>9.8777928812446986E-2</v>
      </c>
      <c r="H100" s="304">
        <v>0.16649244653761933</v>
      </c>
      <c r="I100" s="304"/>
      <c r="J100" s="304">
        <v>0.17007701365474912</v>
      </c>
      <c r="K100" s="304">
        <v>0.30550619396594114</v>
      </c>
      <c r="L100" s="304">
        <v>0.44410043729473719</v>
      </c>
      <c r="M100" s="304"/>
      <c r="N100" s="304">
        <v>0.44384011051406413</v>
      </c>
      <c r="O100" s="304">
        <v>0.59776300530541582</v>
      </c>
      <c r="P100" s="304">
        <v>0.6848244347297664</v>
      </c>
      <c r="Q100" s="304"/>
      <c r="R100" s="304">
        <v>0.13532691463202118</v>
      </c>
      <c r="S100" s="304">
        <v>0.21503144768304494</v>
      </c>
      <c r="T100" s="304">
        <v>0.27714042809055051</v>
      </c>
      <c r="U100" s="304"/>
      <c r="V100" s="304">
        <v>0.54300615146968156</v>
      </c>
      <c r="W100" s="304">
        <v>0.75854623181135838</v>
      </c>
      <c r="X100" s="304">
        <v>0.94311865327917421</v>
      </c>
      <c r="Y100" s="304"/>
      <c r="Z100" s="304">
        <v>1.8455921883583397</v>
      </c>
      <c r="AA100" s="304">
        <v>2.1171026447314323</v>
      </c>
      <c r="AB100" s="304">
        <v>2.0857168526994379</v>
      </c>
      <c r="AC100" s="304"/>
      <c r="AD100" s="304">
        <v>1.5170194093108667</v>
      </c>
      <c r="AE100" s="304">
        <v>1.6192086924184068</v>
      </c>
      <c r="AF100" s="304">
        <v>1.1656050191543679</v>
      </c>
      <c r="AG100" s="304"/>
      <c r="AH100" s="304">
        <v>1.4606533421122865</v>
      </c>
      <c r="AI100" s="304">
        <v>1.5479229310377105</v>
      </c>
      <c r="AJ100" s="304">
        <v>1.1707942590526157</v>
      </c>
      <c r="AK100" s="304"/>
      <c r="AL100" s="304">
        <v>0.34275483409374763</v>
      </c>
      <c r="AM100" s="304">
        <v>0.26913326139194976</v>
      </c>
      <c r="AN100" s="304">
        <v>0.27227422578939497</v>
      </c>
    </row>
    <row r="101" spans="1:40" x14ac:dyDescent="0.2">
      <c r="A101" s="38" t="str">
        <f t="shared" si="80"/>
        <v>Elementary occupations</v>
      </c>
      <c r="B101" s="307">
        <f t="shared" si="82"/>
        <v>24.182761221934729</v>
      </c>
      <c r="C101" s="307">
        <f t="shared" si="83"/>
        <v>21.932584594806062</v>
      </c>
      <c r="D101" s="307">
        <f t="shared" si="84"/>
        <v>17.137538789049415</v>
      </c>
      <c r="E101" s="307"/>
      <c r="F101" s="307">
        <v>2.1029246995047306E-2</v>
      </c>
      <c r="G101" s="307">
        <v>3.8065422436516436E-2</v>
      </c>
      <c r="H101" s="307">
        <v>3.8680746819776492E-2</v>
      </c>
      <c r="I101" s="307"/>
      <c r="J101" s="307">
        <v>0.28564519981322595</v>
      </c>
      <c r="K101" s="307">
        <v>0.37122642547924678</v>
      </c>
      <c r="L101" s="307">
        <v>0.62303806260499983</v>
      </c>
      <c r="M101" s="307"/>
      <c r="N101" s="307">
        <v>0.93571791777128699</v>
      </c>
      <c r="O101" s="307">
        <v>1.1078923016586131</v>
      </c>
      <c r="P101" s="307">
        <v>1.3981562772976583</v>
      </c>
      <c r="Q101" s="307"/>
      <c r="R101" s="307">
        <v>0.97286337226399766</v>
      </c>
      <c r="S101" s="307">
        <v>1.1330048284797869</v>
      </c>
      <c r="T101" s="307">
        <v>1.4337292387314997</v>
      </c>
      <c r="U101" s="307"/>
      <c r="V101" s="307">
        <v>0.64519137434409002</v>
      </c>
      <c r="W101" s="307">
        <v>0.74382431059037402</v>
      </c>
      <c r="X101" s="307">
        <v>0.79293635054404266</v>
      </c>
      <c r="Y101" s="307"/>
      <c r="Z101" s="307">
        <v>5.0528721384503319</v>
      </c>
      <c r="AA101" s="307">
        <v>4.9269413154965482</v>
      </c>
      <c r="AB101" s="307">
        <v>3.9703466030724197</v>
      </c>
      <c r="AC101" s="307"/>
      <c r="AD101" s="307">
        <v>8.0899708732210254</v>
      </c>
      <c r="AE101" s="307">
        <v>7.4112947741907087</v>
      </c>
      <c r="AF101" s="307">
        <v>5.5850720796468485</v>
      </c>
      <c r="AG101" s="307"/>
      <c r="AH101" s="307">
        <v>6.64567448633602</v>
      </c>
      <c r="AI101" s="307">
        <v>5.0127164374530269</v>
      </c>
      <c r="AJ101" s="307">
        <v>2.3930767671399389</v>
      </c>
      <c r="AK101" s="307"/>
      <c r="AL101" s="307">
        <v>1.5337966127397036</v>
      </c>
      <c r="AM101" s="307">
        <v>1.187618779021242</v>
      </c>
      <c r="AN101" s="307">
        <v>0.9025026631922286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78" t="str">
        <f>CONCATENATE("Basic Table 2  Employment Change by Occupation and Replacement Demand, ",name!F4,", ",B$6,"-",F$6,", ",Info!B5)</f>
        <v>Basic Table 2  Employment Change by Occupation and Replacement Demand, RQF8 Doctorate, 2015-2035, South West</v>
      </c>
      <c r="B1" s="378"/>
      <c r="C1" s="378"/>
      <c r="D1" s="378"/>
      <c r="E1" s="378"/>
      <c r="F1" s="378"/>
      <c r="G1" s="378"/>
      <c r="H1" s="378"/>
      <c r="I1" s="378"/>
      <c r="J1" s="378"/>
      <c r="L1" s="378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West</v>
      </c>
      <c r="M1" s="378"/>
      <c r="N1" s="378"/>
      <c r="O1" s="378"/>
      <c r="P1" s="378"/>
      <c r="Q1" s="378"/>
      <c r="R1" s="378"/>
      <c r="S1" s="378"/>
      <c r="T1" s="378"/>
      <c r="U1" s="378"/>
      <c r="W1" s="378" t="str">
        <f>CONCATENATE("Basic Table 2.2  Employment Change by Occupation and Replacement Demand, ",name!F6,", ",X$6,"-",AB$6,", ",Info!B5)</f>
        <v>Basic Table 2.2  Employment Change by Occupation and Replacement Demand, RQF6 First degree, 2015-2035, South West</v>
      </c>
      <c r="X1" s="378"/>
      <c r="Y1" s="378"/>
      <c r="Z1" s="378"/>
      <c r="AA1" s="378"/>
      <c r="AB1" s="378"/>
      <c r="AC1" s="378"/>
      <c r="AD1" s="378"/>
      <c r="AE1" s="378"/>
      <c r="AF1" s="378"/>
      <c r="AH1" s="378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West</v>
      </c>
      <c r="AI1" s="378"/>
      <c r="AJ1" s="378"/>
      <c r="AK1" s="378"/>
      <c r="AL1" s="378"/>
      <c r="AM1" s="378"/>
      <c r="AN1" s="378"/>
      <c r="AO1" s="378"/>
      <c r="AP1" s="378"/>
      <c r="AQ1" s="378"/>
      <c r="AS1" s="378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West</v>
      </c>
      <c r="AT1" s="378"/>
      <c r="AU1" s="378"/>
      <c r="AV1" s="378"/>
      <c r="AW1" s="378"/>
      <c r="AX1" s="378"/>
      <c r="AY1" s="378"/>
      <c r="AZ1" s="378"/>
      <c r="BA1" s="378"/>
      <c r="BB1" s="378"/>
      <c r="BD1" s="378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West</v>
      </c>
      <c r="BE1" s="378"/>
      <c r="BF1" s="378"/>
      <c r="BG1" s="378"/>
      <c r="BH1" s="378"/>
      <c r="BI1" s="378"/>
      <c r="BJ1" s="378"/>
      <c r="BK1" s="378"/>
      <c r="BL1" s="378"/>
      <c r="BM1" s="378"/>
      <c r="BO1" s="378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West</v>
      </c>
      <c r="BP1" s="378"/>
      <c r="BQ1" s="378"/>
      <c r="BR1" s="378"/>
      <c r="BS1" s="378"/>
      <c r="BT1" s="378"/>
      <c r="BU1" s="378"/>
      <c r="BV1" s="378"/>
      <c r="BW1" s="378"/>
      <c r="BX1" s="378"/>
      <c r="BZ1" s="378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West</v>
      </c>
      <c r="CA1" s="378"/>
      <c r="CB1" s="378"/>
      <c r="CC1" s="378"/>
      <c r="CD1" s="378"/>
      <c r="CE1" s="378"/>
      <c r="CF1" s="378"/>
      <c r="CG1" s="378"/>
      <c r="CH1" s="378"/>
      <c r="CI1" s="378"/>
      <c r="CK1" s="378" t="str">
        <f>CONCATENATE("Basic Table 2.8  Employment Change by Occupation and Replacement Demand, ",name!F12,", ",CL$6,"-",CP$6,", ",Info!B5)</f>
        <v>Basic Table 2.8  Employment Change by Occupation and Replacement Demand, No Qualification, 2015-2035, South West</v>
      </c>
      <c r="CL1" s="378"/>
      <c r="CM1" s="378"/>
      <c r="CN1" s="378"/>
      <c r="CO1" s="378"/>
      <c r="CP1" s="378"/>
      <c r="CQ1" s="378"/>
      <c r="CR1" s="378"/>
      <c r="CS1" s="378"/>
      <c r="CT1" s="378"/>
    </row>
    <row r="2" spans="1:98" ht="12.75" customHeight="1" x14ac:dyDescent="0.2">
      <c r="A2" s="181" t="s">
        <v>540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2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2">
      <c r="A8" s="10" t="str">
        <f>name!D4</f>
        <v>11 Corporate managers and directors</v>
      </c>
      <c r="B8" s="68">
        <v>2.4489059179357699</v>
      </c>
      <c r="C8" s="68">
        <v>3.3985946361273216</v>
      </c>
      <c r="D8" s="68">
        <v>3.4861988566076163</v>
      </c>
      <c r="E8" s="68">
        <v>4.3708530200699665</v>
      </c>
      <c r="F8" s="68">
        <v>6.757719246806281</v>
      </c>
      <c r="G8" s="10"/>
      <c r="H8" s="68">
        <f>F8-D8</f>
        <v>3.2715203901986647</v>
      </c>
      <c r="I8" s="68">
        <f>'RD T1'!E36</f>
        <v>2.548942869763021</v>
      </c>
      <c r="J8" s="68">
        <f>SUM(H8:I8)</f>
        <v>5.8204632599616861</v>
      </c>
      <c r="L8" t="str">
        <f>A8</f>
        <v>11 Corporate managers and directors</v>
      </c>
      <c r="M8" s="68">
        <v>19.919886993431508</v>
      </c>
      <c r="N8" s="68">
        <v>27.998682068942699</v>
      </c>
      <c r="O8" s="68">
        <v>28.241124394906265</v>
      </c>
      <c r="P8" s="68">
        <v>33.661354275901786</v>
      </c>
      <c r="Q8" s="68">
        <v>51.053818503044404</v>
      </c>
      <c r="R8" s="10"/>
      <c r="S8" s="68">
        <f>Q8-O8</f>
        <v>22.812694108138139</v>
      </c>
      <c r="T8" s="68">
        <f>'RD T1'!E65</f>
        <v>20.24993983040914</v>
      </c>
      <c r="U8" s="68">
        <f>SUM(S8:T8)</f>
        <v>43.062633938547279</v>
      </c>
      <c r="W8" t="str">
        <f>A8</f>
        <v>11 Corporate managers and directors</v>
      </c>
      <c r="X8" s="68">
        <v>50.570941691542501</v>
      </c>
      <c r="Y8" s="68">
        <v>58.958528491530096</v>
      </c>
      <c r="Z8" s="68">
        <v>60.40572643696909</v>
      </c>
      <c r="AA8" s="68">
        <v>60.304588485760981</v>
      </c>
      <c r="AB8" s="68">
        <v>67.506666849647374</v>
      </c>
      <c r="AC8" s="68"/>
      <c r="AD8" s="68">
        <f>AB8-Z8</f>
        <v>7.100940412678284</v>
      </c>
      <c r="AE8" s="68">
        <f>'RD T1'!E94</f>
        <v>37.2814970295602</v>
      </c>
      <c r="AF8" s="68">
        <f>SUM(AD8:AE8)</f>
        <v>44.382437442238484</v>
      </c>
      <c r="AH8" t="str">
        <f>L8</f>
        <v>11 Corporate managers and directors</v>
      </c>
      <c r="AI8" s="68">
        <v>9.8865180822650292</v>
      </c>
      <c r="AJ8" s="68">
        <v>10.710387912980998</v>
      </c>
      <c r="AK8" s="68">
        <v>11.776199386611198</v>
      </c>
      <c r="AL8" s="68">
        <v>11.096136036777436</v>
      </c>
      <c r="AM8" s="68">
        <v>11.797903171342718</v>
      </c>
      <c r="AN8" s="68"/>
      <c r="AO8" s="68">
        <f>AM8-AK8</f>
        <v>2.1703784731519349E-2</v>
      </c>
      <c r="AP8" s="68">
        <f>'RD T1'!E123</f>
        <v>6.1867694656330867</v>
      </c>
      <c r="AQ8" s="68">
        <f>SUM(AO8:AP8)</f>
        <v>6.2084732503646061</v>
      </c>
      <c r="AS8" t="str">
        <f>W8</f>
        <v>11 Corporate managers and directors</v>
      </c>
      <c r="AT8" s="68">
        <v>14.041242424513472</v>
      </c>
      <c r="AU8" s="68">
        <v>15.21716599332281</v>
      </c>
      <c r="AV8" s="68">
        <v>16.524330254509131</v>
      </c>
      <c r="AW8" s="68">
        <v>15.506075290884764</v>
      </c>
      <c r="AX8" s="68">
        <v>16.684566834979247</v>
      </c>
      <c r="AY8" s="68"/>
      <c r="AZ8" s="68">
        <f>AX8-AV8</f>
        <v>0.1602365804701158</v>
      </c>
      <c r="BA8" s="68">
        <f>'RD T1'!E152</f>
        <v>8.8182318624996245</v>
      </c>
      <c r="BB8" s="68">
        <f>SUM(AZ8:BA8)</f>
        <v>8.9784684429697403</v>
      </c>
      <c r="BD8" t="str">
        <f>AH8</f>
        <v>11 Corporate managers and directors</v>
      </c>
      <c r="BE8" s="68">
        <v>35.918761168445073</v>
      </c>
      <c r="BF8" s="68">
        <v>43.1453965444367</v>
      </c>
      <c r="BG8" s="68">
        <v>43.616744940785736</v>
      </c>
      <c r="BH8" s="68">
        <v>37.375037751554586</v>
      </c>
      <c r="BI8" s="68">
        <v>38.759817815018913</v>
      </c>
      <c r="BJ8" s="68"/>
      <c r="BK8" s="68">
        <f>BI8-BG8</f>
        <v>-4.8569271257668234</v>
      </c>
      <c r="BL8" s="68">
        <f>'RD T1'!E181</f>
        <v>15.986459384723805</v>
      </c>
      <c r="BM8" s="68">
        <f>SUM(BK8:BL8)</f>
        <v>11.129532258956981</v>
      </c>
      <c r="BO8" t="str">
        <f>AS8</f>
        <v>11 Corporate managers and directors</v>
      </c>
      <c r="BP8" s="68">
        <v>27.344623723970063</v>
      </c>
      <c r="BQ8" s="68">
        <v>28.933192101935798</v>
      </c>
      <c r="BR8" s="68">
        <v>30.54568268457313</v>
      </c>
      <c r="BS8" s="68">
        <v>22.791099257664225</v>
      </c>
      <c r="BT8" s="68">
        <v>16.820789943733281</v>
      </c>
      <c r="BU8" s="68"/>
      <c r="BV8" s="68">
        <f>BT8-BR8</f>
        <v>-13.724892740839849</v>
      </c>
      <c r="BW8" s="68">
        <f>'RD T1'!E210</f>
        <v>10.223092990920891</v>
      </c>
      <c r="BX8" s="68">
        <f>SUM(BV8:BW8)</f>
        <v>-3.5017997499189573</v>
      </c>
      <c r="BZ8" t="str">
        <f>BD8</f>
        <v>11 Corporate managers and directors</v>
      </c>
      <c r="CA8" s="68">
        <v>15.750907422219591</v>
      </c>
      <c r="CB8" s="68">
        <v>22.02768971400295</v>
      </c>
      <c r="CC8" s="68">
        <v>21.761868795374788</v>
      </c>
      <c r="CD8" s="68">
        <v>18.679176840542549</v>
      </c>
      <c r="CE8" s="68">
        <v>16.642039174633226</v>
      </c>
      <c r="CF8" s="68"/>
      <c r="CG8" s="68">
        <f>CE8-CC8</f>
        <v>-5.1198296207415623</v>
      </c>
      <c r="CH8" s="68">
        <f>'RD T1'!E239</f>
        <v>7.114759259717041</v>
      </c>
      <c r="CI8" s="68">
        <f>SUM(CG8:CH8)</f>
        <v>1.9949296389754787</v>
      </c>
      <c r="CK8" t="str">
        <f>BO8</f>
        <v>11 Corporate managers and directors</v>
      </c>
      <c r="CL8" s="68">
        <v>2.4059572069986217</v>
      </c>
      <c r="CM8" s="68">
        <v>3.2080054952695685</v>
      </c>
      <c r="CN8" s="68">
        <v>4.0662926555322336</v>
      </c>
      <c r="CO8" s="68">
        <v>3.0976884514406464</v>
      </c>
      <c r="CP8" s="68">
        <v>2.5785942992680031</v>
      </c>
      <c r="CQ8" s="68"/>
      <c r="CR8" s="68">
        <f>CP8-CN8</f>
        <v>-1.4876983562642305</v>
      </c>
      <c r="CS8" s="68">
        <f>'RD T1'!E268</f>
        <v>1.0783598313491856</v>
      </c>
      <c r="CT8" s="68">
        <f>SUM(CR8:CS8)</f>
        <v>-0.40933852491504497</v>
      </c>
    </row>
    <row r="9" spans="1:98" x14ac:dyDescent="0.2">
      <c r="A9" s="10" t="str">
        <f>name!D5</f>
        <v>12 Other managers and proprietors</v>
      </c>
      <c r="B9" s="68">
        <v>1.176374952043278</v>
      </c>
      <c r="C9" s="68">
        <v>1.5912923259135336</v>
      </c>
      <c r="D9" s="68">
        <v>1.423788679032213</v>
      </c>
      <c r="E9" s="68">
        <v>2.4352368662807442</v>
      </c>
      <c r="F9" s="68">
        <v>4.0537619579914725</v>
      </c>
      <c r="H9" s="68">
        <f>F9-D9</f>
        <v>2.6299732789592598</v>
      </c>
      <c r="I9" s="68">
        <f>'RD T1'!E37</f>
        <v>1.6954175190683693</v>
      </c>
      <c r="J9" s="68">
        <f t="shared" ref="J9:J32" si="26">SUM(H9:I9)</f>
        <v>4.3253907980276294</v>
      </c>
      <c r="L9" t="str">
        <f t="shared" ref="L9:L32" si="27">A9</f>
        <v>12 Other managers and proprietors</v>
      </c>
      <c r="M9" s="68">
        <v>9.0396740833621898</v>
      </c>
      <c r="N9" s="68">
        <v>12.209692608023204</v>
      </c>
      <c r="O9" s="68">
        <v>12.125479096248933</v>
      </c>
      <c r="P9" s="68">
        <v>19.774455257426645</v>
      </c>
      <c r="Q9" s="68">
        <v>33.473294022870526</v>
      </c>
      <c r="S9" s="68">
        <f t="shared" ref="S9:S32" si="28">Q9-O9</f>
        <v>21.347814926621595</v>
      </c>
      <c r="T9" s="68">
        <f>'RD T1'!E66</f>
        <v>13.792829422890124</v>
      </c>
      <c r="U9" s="68">
        <f t="shared" ref="U9:U32" si="29">SUM(S9:T9)</f>
        <v>35.140644349511717</v>
      </c>
      <c r="W9" t="str">
        <f t="shared" ref="W9:W32" si="30">A9</f>
        <v>12 Other managers and proprietors</v>
      </c>
      <c r="X9" s="68">
        <v>22.565124565237888</v>
      </c>
      <c r="Y9" s="68">
        <v>24.873008890769601</v>
      </c>
      <c r="Z9" s="68">
        <v>25.199174418208287</v>
      </c>
      <c r="AA9" s="68">
        <v>34.856284529436792</v>
      </c>
      <c r="AB9" s="68">
        <v>42.487873230325114</v>
      </c>
      <c r="AC9" s="68"/>
      <c r="AD9" s="68">
        <f t="shared" ref="AD9:AD32" si="31">AB9-Z9</f>
        <v>17.288698812116827</v>
      </c>
      <c r="AE9" s="68">
        <f>'RD T1'!E95</f>
        <v>24.834979326023038</v>
      </c>
      <c r="AF9" s="68">
        <f t="shared" ref="AF9:AF32" si="32">SUM(AD9:AE9)</f>
        <v>42.123678138139866</v>
      </c>
      <c r="AH9" t="str">
        <f t="shared" ref="AH9:AH32" si="33">L9</f>
        <v>12 Other managers and proprietors</v>
      </c>
      <c r="AI9" s="68">
        <v>6.5841971370642769</v>
      </c>
      <c r="AJ9" s="68">
        <v>6.9752871695905929</v>
      </c>
      <c r="AK9" s="68">
        <v>7.573088599908198</v>
      </c>
      <c r="AL9" s="68">
        <v>9.5493730367010787</v>
      </c>
      <c r="AM9" s="68">
        <v>11.843335330845383</v>
      </c>
      <c r="AN9" s="68"/>
      <c r="AO9" s="68">
        <f t="shared" ref="AO9:AO32" si="34">AM9-AK9</f>
        <v>4.2702467309371848</v>
      </c>
      <c r="AP9" s="68">
        <f>'RD T1'!E124</f>
        <v>6.6130601954218271</v>
      </c>
      <c r="AQ9" s="68">
        <f t="shared" ref="AQ9:AQ32" si="35">SUM(AO9:AP9)</f>
        <v>10.883306926359012</v>
      </c>
      <c r="AS9" t="str">
        <f t="shared" ref="AS9:AS32" si="36">W9</f>
        <v>12 Other managers and proprietors</v>
      </c>
      <c r="AT9" s="68">
        <v>7.0116095261520321</v>
      </c>
      <c r="AU9" s="68">
        <v>7.4301140545344424</v>
      </c>
      <c r="AV9" s="68">
        <v>7.733018399238631</v>
      </c>
      <c r="AW9" s="68">
        <v>10.182139289138449</v>
      </c>
      <c r="AX9" s="68">
        <v>11.091882753036105</v>
      </c>
      <c r="AY9" s="68"/>
      <c r="AZ9" s="68">
        <f t="shared" ref="AZ9:AZ32" si="37">AX9-AV9</f>
        <v>3.3588643537974736</v>
      </c>
      <c r="BA9" s="68">
        <f>'RD T1'!E153</f>
        <v>6.4524962712372691</v>
      </c>
      <c r="BB9" s="68">
        <f t="shared" ref="BB9:BB32" si="38">SUM(AZ9:BA9)</f>
        <v>9.8113606250347427</v>
      </c>
      <c r="BD9" t="str">
        <f t="shared" ref="BD9:BD32" si="39">AH9</f>
        <v>12 Other managers and proprietors</v>
      </c>
      <c r="BE9" s="68">
        <v>20.365240538086599</v>
      </c>
      <c r="BF9" s="68">
        <v>20.322414470700867</v>
      </c>
      <c r="BG9" s="68">
        <v>20.81334718575695</v>
      </c>
      <c r="BH9" s="68">
        <v>23.184996451548425</v>
      </c>
      <c r="BI9" s="68">
        <v>24.833792648579461</v>
      </c>
      <c r="BJ9" s="68"/>
      <c r="BK9" s="68">
        <f t="shared" ref="BK9:BK32" si="40">BI9-BG9</f>
        <v>4.0204454628225115</v>
      </c>
      <c r="BL9" s="68">
        <f>'RD T1'!E182</f>
        <v>10.224871079807949</v>
      </c>
      <c r="BM9" s="68">
        <f t="shared" ref="BM9:BM32" si="41">SUM(BK9:BL9)</f>
        <v>14.24531654263046</v>
      </c>
      <c r="BO9" t="str">
        <f t="shared" ref="BO9:BO32" si="42">AS9</f>
        <v>12 Other managers and proprietors</v>
      </c>
      <c r="BP9" s="68">
        <v>20.974275651419088</v>
      </c>
      <c r="BQ9" s="68">
        <v>21.441740818011375</v>
      </c>
      <c r="BR9" s="68">
        <v>21.726401752317088</v>
      </c>
      <c r="BS9" s="68">
        <v>23.219859706278164</v>
      </c>
      <c r="BT9" s="68">
        <v>19.196703660334098</v>
      </c>
      <c r="BU9" s="68"/>
      <c r="BV9" s="68">
        <f t="shared" ref="BV9:BV32" si="43">BT9-BR9</f>
        <v>-2.5296980919829899</v>
      </c>
      <c r="BW9" s="68">
        <f>'RD T1'!E211</f>
        <v>11.981417566222202</v>
      </c>
      <c r="BX9" s="68">
        <f t="shared" ref="BX9:BX32" si="44">SUM(BV9:BW9)</f>
        <v>9.4517194742392121</v>
      </c>
      <c r="BZ9" t="str">
        <f t="shared" ref="BZ9:BZ32" si="45">BD9</f>
        <v>12 Other managers and proprietors</v>
      </c>
      <c r="CA9" s="68">
        <v>12.839945714569447</v>
      </c>
      <c r="CB9" s="68">
        <v>16.878074066092996</v>
      </c>
      <c r="CC9" s="68">
        <v>16.016808570495527</v>
      </c>
      <c r="CD9" s="68">
        <v>17.307540394932978</v>
      </c>
      <c r="CE9" s="68">
        <v>14.866727046731318</v>
      </c>
      <c r="CF9" s="68"/>
      <c r="CG9" s="68">
        <f t="shared" ref="CG9:CG32" si="46">CE9-CC9</f>
        <v>-1.150081523764209</v>
      </c>
      <c r="CH9" s="68">
        <f>'RD T1'!E240</f>
        <v>7.1158074113638614</v>
      </c>
      <c r="CI9" s="68">
        <f t="shared" ref="CI9:CI32" si="47">SUM(CG9:CH9)</f>
        <v>5.9657258875996524</v>
      </c>
      <c r="CK9" t="str">
        <f t="shared" ref="CK9:CK32" si="48">BO9</f>
        <v>12 Other managers and proprietors</v>
      </c>
      <c r="CL9" s="68">
        <v>2.8737735616000251</v>
      </c>
      <c r="CM9" s="68">
        <v>2.7917575057772268</v>
      </c>
      <c r="CN9" s="68">
        <v>3.6363829657987421</v>
      </c>
      <c r="CO9" s="68">
        <v>3.6094763144911171</v>
      </c>
      <c r="CP9" s="68">
        <v>3.6998426227375978</v>
      </c>
      <c r="CQ9" s="68"/>
      <c r="CR9" s="68">
        <f t="shared" ref="CR9:CR32" si="49">CP9-CN9</f>
        <v>6.3459656938855691E-2</v>
      </c>
      <c r="CS9" s="68">
        <f>'RD T1'!E269</f>
        <v>1.3700915320082738</v>
      </c>
      <c r="CT9" s="68">
        <f t="shared" ref="CT9:CT32" si="50">SUM(CR9:CS9)</f>
        <v>1.4335511889471295</v>
      </c>
    </row>
    <row r="10" spans="1:98" x14ac:dyDescent="0.2">
      <c r="A10" s="10" t="str">
        <f>name!D6</f>
        <v>21 Science, research, engineering and technology professionals</v>
      </c>
      <c r="B10" s="68">
        <v>6.4976977230433937</v>
      </c>
      <c r="C10" s="68">
        <v>8.7512330768783837</v>
      </c>
      <c r="D10" s="68">
        <v>8.5354572877533688</v>
      </c>
      <c r="E10" s="68">
        <v>11.060906122937144</v>
      </c>
      <c r="F10" s="68">
        <v>16.029538492479361</v>
      </c>
      <c r="G10" s="11"/>
      <c r="H10" s="68">
        <f t="shared" ref="H10:H32" si="51">F10-D10</f>
        <v>7.4940812047259922</v>
      </c>
      <c r="I10" s="68">
        <f>'RD T1'!E38</f>
        <v>4.5653695750930083</v>
      </c>
      <c r="J10" s="68">
        <f t="shared" si="26"/>
        <v>12.059450779819</v>
      </c>
      <c r="L10" t="str">
        <f t="shared" si="27"/>
        <v>21 Science, research, engineering and technology professionals</v>
      </c>
      <c r="M10" s="68">
        <v>25.695368531745057</v>
      </c>
      <c r="N10" s="68">
        <v>35.235661684932538</v>
      </c>
      <c r="O10" s="68">
        <v>35.618267058097523</v>
      </c>
      <c r="P10" s="68">
        <v>48.148022106362092</v>
      </c>
      <c r="Q10" s="68">
        <v>71.17283001444585</v>
      </c>
      <c r="R10" s="11"/>
      <c r="S10" s="68">
        <f t="shared" si="28"/>
        <v>35.554562956348327</v>
      </c>
      <c r="T10" s="68">
        <f>'RD T1'!E67</f>
        <v>21.06298104820943</v>
      </c>
      <c r="U10" s="68">
        <f t="shared" si="29"/>
        <v>56.617544004557757</v>
      </c>
      <c r="W10" t="str">
        <f t="shared" si="30"/>
        <v>21 Science, research, engineering and technology professionals</v>
      </c>
      <c r="X10" s="68">
        <v>50.103012437594629</v>
      </c>
      <c r="Y10" s="68">
        <v>53.424545975891689</v>
      </c>
      <c r="Z10" s="68">
        <v>54.441300571253528</v>
      </c>
      <c r="AA10" s="68">
        <v>57.663931799964182</v>
      </c>
      <c r="AB10" s="68">
        <v>59.02543647904367</v>
      </c>
      <c r="AC10" s="68"/>
      <c r="AD10" s="68">
        <f t="shared" si="31"/>
        <v>4.5841359077901416</v>
      </c>
      <c r="AE10" s="68">
        <f>'RD T1'!E96</f>
        <v>23.593264538985338</v>
      </c>
      <c r="AF10" s="68">
        <f t="shared" si="32"/>
        <v>28.177400446775479</v>
      </c>
      <c r="AH10" t="str">
        <f t="shared" si="33"/>
        <v>21 Science, research, engineering and technology professionals</v>
      </c>
      <c r="AI10" s="68">
        <v>5.3075505293539615</v>
      </c>
      <c r="AJ10" s="68">
        <v>5.2507737864145714</v>
      </c>
      <c r="AK10" s="68">
        <v>6.0133702990246976</v>
      </c>
      <c r="AL10" s="68">
        <v>6.3531043147961146</v>
      </c>
      <c r="AM10" s="68">
        <v>6.8154864556138524</v>
      </c>
      <c r="AN10" s="68"/>
      <c r="AO10" s="68">
        <f t="shared" si="34"/>
        <v>0.80211615658915481</v>
      </c>
      <c r="AP10" s="68">
        <f>'RD T1'!E125</f>
        <v>2.5797101016654902</v>
      </c>
      <c r="AQ10" s="68">
        <f t="shared" si="35"/>
        <v>3.381826258254645</v>
      </c>
      <c r="AS10" t="str">
        <f t="shared" si="36"/>
        <v>21 Science, research, engineering and technology professionals</v>
      </c>
      <c r="AT10" s="68">
        <v>14.41251046497861</v>
      </c>
      <c r="AU10" s="68">
        <v>14.855046358451547</v>
      </c>
      <c r="AV10" s="68">
        <v>14.760185513240769</v>
      </c>
      <c r="AW10" s="68">
        <v>14.050527748225583</v>
      </c>
      <c r="AX10" s="68">
        <v>13.365665103422911</v>
      </c>
      <c r="AY10" s="68"/>
      <c r="AZ10" s="68">
        <f t="shared" si="37"/>
        <v>-1.3945204098178579</v>
      </c>
      <c r="BA10" s="68">
        <f>'RD T1'!E154</f>
        <v>5.2909667492456105</v>
      </c>
      <c r="BB10" s="68">
        <f t="shared" si="38"/>
        <v>3.8964463394277526</v>
      </c>
      <c r="BD10" t="str">
        <f t="shared" si="39"/>
        <v>21 Science, research, engineering and technology professionals</v>
      </c>
      <c r="BE10" s="68">
        <v>21.775387777272805</v>
      </c>
      <c r="BF10" s="68">
        <v>24.433686704224883</v>
      </c>
      <c r="BG10" s="68">
        <v>25.589652366518045</v>
      </c>
      <c r="BH10" s="68">
        <v>23.291613335186018</v>
      </c>
      <c r="BI10" s="68">
        <v>22.610182444006512</v>
      </c>
      <c r="BJ10" s="68"/>
      <c r="BK10" s="68">
        <f t="shared" si="40"/>
        <v>-2.9794699225115338</v>
      </c>
      <c r="BL10" s="68">
        <f>'RD T1'!E183</f>
        <v>6.5296458554379404</v>
      </c>
      <c r="BM10" s="68">
        <f t="shared" si="41"/>
        <v>3.5501759329264067</v>
      </c>
      <c r="BO10" t="str">
        <f t="shared" si="42"/>
        <v>21 Science, research, engineering and technology professionals</v>
      </c>
      <c r="BP10" s="68">
        <v>15.040214302882141</v>
      </c>
      <c r="BQ10" s="68">
        <v>15.586131673257619</v>
      </c>
      <c r="BR10" s="68">
        <v>17.265837430697967</v>
      </c>
      <c r="BS10" s="68">
        <v>14.652259468684191</v>
      </c>
      <c r="BT10" s="68">
        <v>11.77726649237532</v>
      </c>
      <c r="BU10" s="68"/>
      <c r="BV10" s="68">
        <f t="shared" si="43"/>
        <v>-5.4885709383226473</v>
      </c>
      <c r="BW10" s="68">
        <f>'RD T1'!E212</f>
        <v>4.8685977673453955</v>
      </c>
      <c r="BX10" s="68">
        <f t="shared" si="44"/>
        <v>-0.6199731709772518</v>
      </c>
      <c r="BZ10" t="str">
        <f t="shared" si="45"/>
        <v>21 Science, research, engineering and technology professionals</v>
      </c>
      <c r="CA10" s="68">
        <v>7.5337221250631705</v>
      </c>
      <c r="CB10" s="68">
        <v>10.412691256802013</v>
      </c>
      <c r="CC10" s="68">
        <v>10.434538584098489</v>
      </c>
      <c r="CD10" s="68">
        <v>9.3393845265218065</v>
      </c>
      <c r="CE10" s="68">
        <v>6.9176591014375814</v>
      </c>
      <c r="CF10" s="68"/>
      <c r="CG10" s="68">
        <f t="shared" si="46"/>
        <v>-3.5168794826609071</v>
      </c>
      <c r="CH10" s="68">
        <f>'RD T1'!E241</f>
        <v>2.3770908273193423</v>
      </c>
      <c r="CI10" s="68">
        <f t="shared" si="47"/>
        <v>-1.1397886553415648</v>
      </c>
      <c r="CK10" t="str">
        <f t="shared" si="48"/>
        <v>21 Science, research, engineering and technology professionals</v>
      </c>
      <c r="CL10" s="68">
        <v>0.9854156415298656</v>
      </c>
      <c r="CM10" s="68">
        <v>1.3983526195463938</v>
      </c>
      <c r="CN10" s="68">
        <v>2.1311432952021514</v>
      </c>
      <c r="CO10" s="68">
        <v>1.9828605133437485</v>
      </c>
      <c r="CP10" s="68">
        <v>1.8279332845145135</v>
      </c>
      <c r="CQ10" s="68"/>
      <c r="CR10" s="68">
        <f t="shared" si="49"/>
        <v>-0.30321001068763787</v>
      </c>
      <c r="CS10" s="68">
        <f>'RD T1'!E270</f>
        <v>0.57136054218142851</v>
      </c>
      <c r="CT10" s="68">
        <f t="shared" si="50"/>
        <v>0.26815053149379064</v>
      </c>
    </row>
    <row r="11" spans="1:98" x14ac:dyDescent="0.2">
      <c r="A11" s="10" t="str">
        <f>name!D7</f>
        <v>22 Health professionals</v>
      </c>
      <c r="B11" s="68">
        <v>7.2279140885738622</v>
      </c>
      <c r="C11" s="68">
        <v>9.4024325016926174</v>
      </c>
      <c r="D11" s="68">
        <v>9.4652843719364164</v>
      </c>
      <c r="E11" s="68">
        <v>13.123246298502195</v>
      </c>
      <c r="F11" s="68">
        <v>20.390023359581313</v>
      </c>
      <c r="G11" s="11"/>
      <c r="H11" s="68">
        <f t="shared" si="51"/>
        <v>10.924738987644897</v>
      </c>
      <c r="I11" s="68">
        <f>'RD T1'!E39</f>
        <v>7.2797324866314792</v>
      </c>
      <c r="J11" s="68">
        <f t="shared" si="26"/>
        <v>18.204471474276374</v>
      </c>
      <c r="L11" t="str">
        <f t="shared" si="27"/>
        <v>22 Health professionals</v>
      </c>
      <c r="M11" s="68">
        <v>19.891831405060586</v>
      </c>
      <c r="N11" s="68">
        <v>26.684823818045871</v>
      </c>
      <c r="O11" s="68">
        <v>26.312267548425872</v>
      </c>
      <c r="P11" s="68">
        <v>34.633019757822929</v>
      </c>
      <c r="Q11" s="68">
        <v>51.840580179958692</v>
      </c>
      <c r="R11" s="11"/>
      <c r="S11" s="68">
        <f t="shared" si="28"/>
        <v>25.52831263153282</v>
      </c>
      <c r="T11" s="68">
        <f>'RD T1'!E68</f>
        <v>20.243120339552732</v>
      </c>
      <c r="U11" s="68">
        <f t="shared" si="29"/>
        <v>45.771432971085552</v>
      </c>
      <c r="W11" t="str">
        <f t="shared" si="30"/>
        <v>22 Health professionals</v>
      </c>
      <c r="X11" s="68">
        <v>44.516239340658878</v>
      </c>
      <c r="Y11" s="68">
        <v>48.148278184288472</v>
      </c>
      <c r="Z11" s="68">
        <v>49.098990872473628</v>
      </c>
      <c r="AA11" s="68">
        <v>56.832386895047485</v>
      </c>
      <c r="AB11" s="68">
        <v>63.022227725953222</v>
      </c>
      <c r="AC11" s="68"/>
      <c r="AD11" s="68">
        <f t="shared" si="31"/>
        <v>13.923236853479594</v>
      </c>
      <c r="AE11" s="68">
        <f>'RD T1'!E97</f>
        <v>34.087105653946615</v>
      </c>
      <c r="AF11" s="68">
        <f t="shared" si="32"/>
        <v>48.010342507426209</v>
      </c>
      <c r="AH11" t="str">
        <f t="shared" si="33"/>
        <v>22 Health professionals</v>
      </c>
      <c r="AI11" s="68">
        <v>23.455569281675995</v>
      </c>
      <c r="AJ11" s="68">
        <v>17.085138219818507</v>
      </c>
      <c r="AK11" s="68">
        <v>15.6737813157681</v>
      </c>
      <c r="AL11" s="68">
        <v>9.55495715885022</v>
      </c>
      <c r="AM11" s="68">
        <v>3.6781077220470073</v>
      </c>
      <c r="AN11" s="68"/>
      <c r="AO11" s="68">
        <f t="shared" si="34"/>
        <v>-11.995673593721092</v>
      </c>
      <c r="AP11" s="68">
        <f>'RD T1'!E126</f>
        <v>3.2195614476020675</v>
      </c>
      <c r="AQ11" s="68">
        <f t="shared" si="35"/>
        <v>-8.7761121461190239</v>
      </c>
      <c r="AS11" t="str">
        <f t="shared" si="36"/>
        <v>22 Health professionals</v>
      </c>
      <c r="AT11" s="68">
        <v>3.105498873599204</v>
      </c>
      <c r="AU11" s="68">
        <v>3.3572373102299089</v>
      </c>
      <c r="AV11" s="68">
        <v>3.7676262570513028</v>
      </c>
      <c r="AW11" s="68">
        <v>4.2230685556563623</v>
      </c>
      <c r="AX11" s="68">
        <v>4.7346832986486209</v>
      </c>
      <c r="AY11" s="68"/>
      <c r="AZ11" s="68">
        <f t="shared" si="37"/>
        <v>0.96705704159731809</v>
      </c>
      <c r="BA11" s="68">
        <f>'RD T1'!E155</f>
        <v>2.3188304095262446</v>
      </c>
      <c r="BB11" s="68">
        <f t="shared" si="38"/>
        <v>3.2858874511235627</v>
      </c>
      <c r="BD11" t="str">
        <f t="shared" si="39"/>
        <v>22 Health professionals</v>
      </c>
      <c r="BE11" s="68">
        <v>11.138832179301891</v>
      </c>
      <c r="BF11" s="68">
        <v>15.227224939319413</v>
      </c>
      <c r="BG11" s="68">
        <v>15.123363609708067</v>
      </c>
      <c r="BH11" s="68">
        <v>17.306567737857538</v>
      </c>
      <c r="BI11" s="68">
        <v>19.471841903831628</v>
      </c>
      <c r="BJ11" s="68"/>
      <c r="BK11" s="68">
        <f t="shared" si="40"/>
        <v>4.3484782941235611</v>
      </c>
      <c r="BL11" s="68">
        <f>'RD T1'!E184</f>
        <v>9.4703055730715189</v>
      </c>
      <c r="BM11" s="68">
        <f t="shared" si="41"/>
        <v>13.81878386719508</v>
      </c>
      <c r="BO11" t="str">
        <f t="shared" si="42"/>
        <v>22 Health professionals</v>
      </c>
      <c r="BP11" s="68">
        <v>9.2115953384806275</v>
      </c>
      <c r="BQ11" s="68">
        <v>10.863958007836802</v>
      </c>
      <c r="BR11" s="68">
        <v>10.369319486390932</v>
      </c>
      <c r="BS11" s="68">
        <v>9.9553538352683102</v>
      </c>
      <c r="BT11" s="68">
        <v>7.5511510766437393</v>
      </c>
      <c r="BU11" s="68"/>
      <c r="BV11" s="68">
        <f t="shared" si="43"/>
        <v>-2.8181684097471926</v>
      </c>
      <c r="BW11" s="68">
        <f>'RD T1'!E213</f>
        <v>4.6743871688734266</v>
      </c>
      <c r="BX11" s="68">
        <f t="shared" si="44"/>
        <v>1.856218759126234</v>
      </c>
      <c r="BZ11" t="str">
        <f t="shared" si="45"/>
        <v>22 Health professionals</v>
      </c>
      <c r="CA11" s="68">
        <v>4.1463412882017057</v>
      </c>
      <c r="CB11" s="68">
        <v>6.0189177428884895</v>
      </c>
      <c r="CC11" s="68">
        <v>5.5523938157879247</v>
      </c>
      <c r="CD11" s="68">
        <v>5.3573631257899148</v>
      </c>
      <c r="CE11" s="68">
        <v>3.9097366007160335</v>
      </c>
      <c r="CF11" s="68"/>
      <c r="CG11" s="68">
        <f t="shared" si="46"/>
        <v>-1.6426572150718912</v>
      </c>
      <c r="CH11" s="68">
        <f>'RD T1'!E242</f>
        <v>1.848796094593335</v>
      </c>
      <c r="CI11" s="68">
        <f t="shared" si="47"/>
        <v>0.20613887952144383</v>
      </c>
      <c r="CK11" t="str">
        <f t="shared" si="48"/>
        <v>22 Health professionals</v>
      </c>
      <c r="CL11" s="68">
        <v>0.4504843687841385</v>
      </c>
      <c r="CM11" s="68">
        <v>0.52899293509109702</v>
      </c>
      <c r="CN11" s="68">
        <v>0.70385644957222704</v>
      </c>
      <c r="CO11" s="68">
        <v>1.0295969480387002</v>
      </c>
      <c r="CP11" s="68">
        <v>1.3638010414470407</v>
      </c>
      <c r="CQ11" s="68"/>
      <c r="CR11" s="68">
        <f t="shared" si="49"/>
        <v>0.65994459187481369</v>
      </c>
      <c r="CS11" s="68">
        <f>'RD T1'!E271</f>
        <v>0.53004217890438476</v>
      </c>
      <c r="CT11" s="68">
        <f t="shared" si="50"/>
        <v>1.1899867707791985</v>
      </c>
    </row>
    <row r="12" spans="1:98" x14ac:dyDescent="0.2">
      <c r="A12" s="10" t="str">
        <f>name!D8</f>
        <v>23 Teaching and other educational professionals</v>
      </c>
      <c r="B12" s="68">
        <v>10.771562648185247</v>
      </c>
      <c r="C12" s="68">
        <v>13.215317665899603</v>
      </c>
      <c r="D12" s="68">
        <v>12.841422880824185</v>
      </c>
      <c r="E12" s="68">
        <v>15.279890961352693</v>
      </c>
      <c r="F12" s="68">
        <v>19.325941898719478</v>
      </c>
      <c r="G12" s="11"/>
      <c r="H12" s="68">
        <f t="shared" si="51"/>
        <v>6.4845190178952929</v>
      </c>
      <c r="I12" s="68">
        <f>'RD T1'!E40</f>
        <v>8.1627140117883492</v>
      </c>
      <c r="J12" s="68">
        <f t="shared" si="26"/>
        <v>14.647233029683642</v>
      </c>
      <c r="L12" t="str">
        <f t="shared" si="27"/>
        <v>23 Teaching and other educational professionals</v>
      </c>
      <c r="M12" s="68">
        <v>57.639479152596742</v>
      </c>
      <c r="N12" s="68">
        <v>72.997067054027966</v>
      </c>
      <c r="O12" s="68">
        <v>73.712736619149069</v>
      </c>
      <c r="P12" s="68">
        <v>86.064704577233783</v>
      </c>
      <c r="Q12" s="68">
        <v>108.05182447397068</v>
      </c>
      <c r="R12" s="11"/>
      <c r="S12" s="68">
        <f t="shared" si="28"/>
        <v>34.339087854821614</v>
      </c>
      <c r="T12" s="68">
        <f>'RD T1'!E69</f>
        <v>47.822509933674596</v>
      </c>
      <c r="U12" s="68">
        <f t="shared" si="29"/>
        <v>82.161597788496209</v>
      </c>
      <c r="W12" t="str">
        <f t="shared" si="30"/>
        <v>23 Teaching and other educational professionals</v>
      </c>
      <c r="X12" s="68">
        <v>41.201686048327211</v>
      </c>
      <c r="Y12" s="68">
        <v>37.454272574628284</v>
      </c>
      <c r="Z12" s="68">
        <v>39.206371113795001</v>
      </c>
      <c r="AA12" s="68">
        <v>34.901482707360302</v>
      </c>
      <c r="AB12" s="68">
        <v>26.941324576641843</v>
      </c>
      <c r="AC12" s="68"/>
      <c r="AD12" s="68">
        <f t="shared" si="31"/>
        <v>-12.265046537153157</v>
      </c>
      <c r="AE12" s="68">
        <f>'RD T1'!E98</f>
        <v>17.604935821092358</v>
      </c>
      <c r="AF12" s="68">
        <f t="shared" si="32"/>
        <v>5.3398892839392005</v>
      </c>
      <c r="AH12" t="str">
        <f t="shared" si="33"/>
        <v>23 Teaching and other educational professionals</v>
      </c>
      <c r="AI12" s="68">
        <v>6.5255908446939381</v>
      </c>
      <c r="AJ12" s="68">
        <v>3.9880819402093213</v>
      </c>
      <c r="AK12" s="68">
        <v>3.4655840740062094</v>
      </c>
      <c r="AL12" s="68">
        <v>2.5741142553210588</v>
      </c>
      <c r="AM12" s="68">
        <v>2.6915951837402079</v>
      </c>
      <c r="AN12" s="68"/>
      <c r="AO12" s="68">
        <f t="shared" si="34"/>
        <v>-0.77398889026600148</v>
      </c>
      <c r="AP12" s="68">
        <f>'RD T1'!E127</f>
        <v>0.93554254190020281</v>
      </c>
      <c r="AQ12" s="68">
        <f t="shared" si="35"/>
        <v>0.16155365163420132</v>
      </c>
      <c r="AS12" t="str">
        <f t="shared" si="36"/>
        <v>23 Teaching and other educational professionals</v>
      </c>
      <c r="AT12" s="68">
        <v>1.6501410572864676</v>
      </c>
      <c r="AU12" s="68">
        <v>1.7412334822069073</v>
      </c>
      <c r="AV12" s="68">
        <v>1.5805413664990304</v>
      </c>
      <c r="AW12" s="68">
        <v>1.3618043374825819</v>
      </c>
      <c r="AX12" s="68">
        <v>1.075089738794742</v>
      </c>
      <c r="AY12" s="68"/>
      <c r="AZ12" s="68">
        <f t="shared" si="37"/>
        <v>-0.50545162770428842</v>
      </c>
      <c r="BA12" s="68">
        <f>'RD T1'!E156</f>
        <v>0.67693692326172161</v>
      </c>
      <c r="BB12" s="68">
        <f t="shared" si="38"/>
        <v>0.17148529555743319</v>
      </c>
      <c r="BD12" t="str">
        <f t="shared" si="39"/>
        <v>23 Teaching and other educational professionals</v>
      </c>
      <c r="BE12" s="68">
        <v>6.3274869054578016</v>
      </c>
      <c r="BF12" s="68">
        <v>7.4281824042050317</v>
      </c>
      <c r="BG12" s="68">
        <v>7.0532639283847853</v>
      </c>
      <c r="BH12" s="68">
        <v>7.0444223300770501</v>
      </c>
      <c r="BI12" s="68">
        <v>7.7124183986404198</v>
      </c>
      <c r="BJ12" s="68"/>
      <c r="BK12" s="68">
        <f t="shared" si="40"/>
        <v>0.65915447025563445</v>
      </c>
      <c r="BL12" s="68">
        <f>'RD T1'!E185</f>
        <v>3.0219860527277276</v>
      </c>
      <c r="BM12" s="68">
        <f t="shared" si="41"/>
        <v>3.681140522983362</v>
      </c>
      <c r="BO12" t="str">
        <f t="shared" si="42"/>
        <v>23 Teaching and other educational professionals</v>
      </c>
      <c r="BP12" s="68">
        <v>4.5766997193362133</v>
      </c>
      <c r="BQ12" s="68">
        <v>4.9543440611799259</v>
      </c>
      <c r="BR12" s="68">
        <v>4.5163082391001543</v>
      </c>
      <c r="BS12" s="68">
        <v>3.9394905720321636</v>
      </c>
      <c r="BT12" s="68">
        <v>2.9859970375575462</v>
      </c>
      <c r="BU12" s="68"/>
      <c r="BV12" s="68">
        <f t="shared" si="43"/>
        <v>-1.5303112015426081</v>
      </c>
      <c r="BW12" s="68">
        <f>'RD T1'!E214</f>
        <v>1.7741171800849234</v>
      </c>
      <c r="BX12" s="68">
        <f t="shared" si="44"/>
        <v>0.24380597854231523</v>
      </c>
      <c r="BZ12" t="str">
        <f t="shared" si="45"/>
        <v>23 Teaching and other educational professionals</v>
      </c>
      <c r="CA12" s="68">
        <v>2.8580279787445284</v>
      </c>
      <c r="CB12" s="68">
        <v>3.7987256210872027</v>
      </c>
      <c r="CC12" s="68">
        <v>4.0626442812652002</v>
      </c>
      <c r="CD12" s="68">
        <v>3.7456750591033607</v>
      </c>
      <c r="CE12" s="68">
        <v>3.1687493256739763</v>
      </c>
      <c r="CF12" s="68"/>
      <c r="CG12" s="68">
        <f t="shared" si="46"/>
        <v>-0.89389495559122389</v>
      </c>
      <c r="CH12" s="68">
        <f>'RD T1'!E243</f>
        <v>1.4268840349805962</v>
      </c>
      <c r="CI12" s="68">
        <f t="shared" si="47"/>
        <v>0.53298907938937234</v>
      </c>
      <c r="CK12" t="str">
        <f t="shared" si="48"/>
        <v>23 Teaching and other educational professionals</v>
      </c>
      <c r="CL12" s="68">
        <v>0.41011047179812055</v>
      </c>
      <c r="CM12" s="68">
        <v>0.51308463981911334</v>
      </c>
      <c r="CN12" s="68">
        <v>0.72751284898976487</v>
      </c>
      <c r="CO12" s="68">
        <v>0.76493846985700209</v>
      </c>
      <c r="CP12" s="68">
        <v>0.59874711736754183</v>
      </c>
      <c r="CQ12" s="68"/>
      <c r="CR12" s="68">
        <f t="shared" si="49"/>
        <v>-0.12876573162222305</v>
      </c>
      <c r="CS12" s="68">
        <f>'RD T1'!E272</f>
        <v>0.29509622932485258</v>
      </c>
      <c r="CT12" s="68">
        <f t="shared" si="50"/>
        <v>0.16633049770262953</v>
      </c>
    </row>
    <row r="13" spans="1:98" x14ac:dyDescent="0.2">
      <c r="A13" s="10" t="str">
        <f>name!D9</f>
        <v>24 Business, media and public service professionals</v>
      </c>
      <c r="B13" s="68">
        <v>2.4112752854085464</v>
      </c>
      <c r="C13" s="68">
        <v>3.3477377298209179</v>
      </c>
      <c r="D13" s="68">
        <v>3.3501131993732312</v>
      </c>
      <c r="E13" s="68">
        <v>4.8629631156242938</v>
      </c>
      <c r="F13" s="68">
        <v>7.5434925647323192</v>
      </c>
      <c r="G13" s="11"/>
      <c r="H13" s="68">
        <f t="shared" si="51"/>
        <v>4.1933793653590881</v>
      </c>
      <c r="I13" s="68">
        <f>'RD T1'!E41</f>
        <v>2.6047215565568655</v>
      </c>
      <c r="J13" s="68">
        <f t="shared" si="26"/>
        <v>6.7981009219159532</v>
      </c>
      <c r="L13" t="str">
        <f t="shared" si="27"/>
        <v>24 Business, media and public service professionals</v>
      </c>
      <c r="M13" s="68">
        <v>30.996860955174046</v>
      </c>
      <c r="N13" s="68">
        <v>42.856835209103899</v>
      </c>
      <c r="O13" s="68">
        <v>45.608089214382787</v>
      </c>
      <c r="P13" s="68">
        <v>61.274382936144519</v>
      </c>
      <c r="Q13" s="68">
        <v>89.510698299348903</v>
      </c>
      <c r="R13" s="11"/>
      <c r="S13" s="68">
        <f t="shared" si="28"/>
        <v>43.902609084966116</v>
      </c>
      <c r="T13" s="68">
        <f>'RD T1'!E70</f>
        <v>33.504185979830297</v>
      </c>
      <c r="U13" s="68">
        <f t="shared" si="29"/>
        <v>77.406795064796412</v>
      </c>
      <c r="W13" t="str">
        <f t="shared" si="30"/>
        <v>24 Business, media and public service professionals</v>
      </c>
      <c r="X13" s="68">
        <v>57.649294357471653</v>
      </c>
      <c r="Y13" s="68">
        <v>62.506570271290222</v>
      </c>
      <c r="Z13" s="68">
        <v>68.204122559371683</v>
      </c>
      <c r="AA13" s="68">
        <v>76.443332930006022</v>
      </c>
      <c r="AB13" s="68">
        <v>79.246361446957806</v>
      </c>
      <c r="AC13" s="68"/>
      <c r="AD13" s="68">
        <f t="shared" si="31"/>
        <v>11.042238887586123</v>
      </c>
      <c r="AE13" s="68">
        <f>'RD T1'!E99</f>
        <v>40.259765919607446</v>
      </c>
      <c r="AF13" s="68">
        <f t="shared" si="32"/>
        <v>51.302004807193569</v>
      </c>
      <c r="AH13" t="str">
        <f t="shared" si="33"/>
        <v>24 Business, media and public service professionals</v>
      </c>
      <c r="AI13" s="68">
        <v>6.3159669264315559</v>
      </c>
      <c r="AJ13" s="68">
        <v>5.7067120986689082</v>
      </c>
      <c r="AK13" s="68">
        <v>6.3693784009826331</v>
      </c>
      <c r="AL13" s="68">
        <v>6.361491631007044</v>
      </c>
      <c r="AM13" s="68">
        <v>6.4292663333861251</v>
      </c>
      <c r="AN13" s="68"/>
      <c r="AO13" s="68">
        <f t="shared" si="34"/>
        <v>5.9887932403491995E-2</v>
      </c>
      <c r="AP13" s="68">
        <f>'RD T1'!E128</f>
        <v>2.4746491362975731</v>
      </c>
      <c r="AQ13" s="68">
        <f t="shared" si="35"/>
        <v>2.5345370687010651</v>
      </c>
      <c r="AS13" t="str">
        <f t="shared" si="36"/>
        <v>24 Business, media and public service professionals</v>
      </c>
      <c r="AT13" s="68">
        <v>9.4769681046415251</v>
      </c>
      <c r="AU13" s="68">
        <v>10.05294131415066</v>
      </c>
      <c r="AV13" s="68">
        <v>11.14411372795678</v>
      </c>
      <c r="AW13" s="68">
        <v>12.36324638119028</v>
      </c>
      <c r="AX13" s="68">
        <v>13.118066526632445</v>
      </c>
      <c r="AY13" s="68"/>
      <c r="AZ13" s="68">
        <f t="shared" si="37"/>
        <v>1.9739527986756649</v>
      </c>
      <c r="BA13" s="68">
        <f>'RD T1'!E157</f>
        <v>6.2716245809507418</v>
      </c>
      <c r="BB13" s="68">
        <f t="shared" si="38"/>
        <v>8.2455773796264076</v>
      </c>
      <c r="BD13" t="str">
        <f t="shared" si="39"/>
        <v>24 Business, media and public service professionals</v>
      </c>
      <c r="BE13" s="68">
        <v>22.770346753409488</v>
      </c>
      <c r="BF13" s="68">
        <v>27.344855405136631</v>
      </c>
      <c r="BG13" s="68">
        <v>29.16290797491023</v>
      </c>
      <c r="BH13" s="68">
        <v>31.189615712363661</v>
      </c>
      <c r="BI13" s="68">
        <v>33.557179324613429</v>
      </c>
      <c r="BJ13" s="68"/>
      <c r="BK13" s="68">
        <f t="shared" si="40"/>
        <v>4.3942713497031995</v>
      </c>
      <c r="BL13" s="68">
        <f>'RD T1'!E186</f>
        <v>12.651372019653214</v>
      </c>
      <c r="BM13" s="68">
        <f t="shared" si="41"/>
        <v>17.045643369356412</v>
      </c>
      <c r="BO13" t="str">
        <f t="shared" si="42"/>
        <v>24 Business, media and public service professionals</v>
      </c>
      <c r="BP13" s="68">
        <v>14.831161179679956</v>
      </c>
      <c r="BQ13" s="68">
        <v>15.491325383339101</v>
      </c>
      <c r="BR13" s="68">
        <v>17.747764968659613</v>
      </c>
      <c r="BS13" s="68">
        <v>15.996363199410622</v>
      </c>
      <c r="BT13" s="68">
        <v>12.414451935119747</v>
      </c>
      <c r="BU13" s="68"/>
      <c r="BV13" s="68">
        <f t="shared" si="43"/>
        <v>-5.3333130335398664</v>
      </c>
      <c r="BW13" s="68">
        <f>'RD T1'!E215</f>
        <v>6.3000584829108179</v>
      </c>
      <c r="BX13" s="68">
        <f t="shared" si="44"/>
        <v>0.96674544937095153</v>
      </c>
      <c r="BZ13" t="str">
        <f t="shared" si="45"/>
        <v>24 Business, media and public service professionals</v>
      </c>
      <c r="CA13" s="68">
        <v>7.7404064695677057</v>
      </c>
      <c r="CB13" s="68">
        <v>11.058920558595178</v>
      </c>
      <c r="CC13" s="68">
        <v>11.482759436271838</v>
      </c>
      <c r="CD13" s="68">
        <v>10.852354438570336</v>
      </c>
      <c r="CE13" s="68">
        <v>8.6928810120160982</v>
      </c>
      <c r="CF13" s="68"/>
      <c r="CG13" s="68">
        <f t="shared" si="46"/>
        <v>-2.7898784242557397</v>
      </c>
      <c r="CH13" s="68">
        <f>'RD T1'!E244</f>
        <v>3.5265031954948736</v>
      </c>
      <c r="CI13" s="68">
        <f t="shared" si="47"/>
        <v>0.73662477123913384</v>
      </c>
      <c r="CK13" t="str">
        <f t="shared" si="48"/>
        <v>24 Business, media and public service professionals</v>
      </c>
      <c r="CL13" s="68">
        <v>1.1749800651185709</v>
      </c>
      <c r="CM13" s="68">
        <v>1.5478864966487167</v>
      </c>
      <c r="CN13" s="68">
        <v>2.1719465721492202</v>
      </c>
      <c r="CO13" s="68">
        <v>2.057350271363835</v>
      </c>
      <c r="CP13" s="68">
        <v>1.7671139367311846</v>
      </c>
      <c r="CQ13" s="68"/>
      <c r="CR13" s="68">
        <f t="shared" si="49"/>
        <v>-0.4048326354180356</v>
      </c>
      <c r="CS13" s="68">
        <f>'RD T1'!E273</f>
        <v>0.71324680377218297</v>
      </c>
      <c r="CT13" s="68">
        <f t="shared" si="50"/>
        <v>0.30841416835414737</v>
      </c>
    </row>
    <row r="14" spans="1:98" x14ac:dyDescent="0.2">
      <c r="A14" s="10" t="str">
        <f>name!D10</f>
        <v>31 Science, engineering and technology associate professionals</v>
      </c>
      <c r="B14" s="68">
        <v>0.76252225152561792</v>
      </c>
      <c r="C14" s="68">
        <v>1.1491853109371499</v>
      </c>
      <c r="D14" s="68">
        <v>1.3141871099797917</v>
      </c>
      <c r="E14" s="68">
        <v>1.5597627646993615</v>
      </c>
      <c r="F14" s="68">
        <v>2.5148108369138602</v>
      </c>
      <c r="G14" s="11"/>
      <c r="H14" s="68">
        <f t="shared" si="51"/>
        <v>1.2006237269340685</v>
      </c>
      <c r="I14" s="68">
        <f>'RD T1'!E42</f>
        <v>0.83860806581764147</v>
      </c>
      <c r="J14" s="68">
        <f t="shared" si="26"/>
        <v>2.0392317927517101</v>
      </c>
      <c r="L14" t="str">
        <f t="shared" si="27"/>
        <v>31 Science, engineering and technology associate professionals</v>
      </c>
      <c r="M14" s="68">
        <v>4.5226770370140876</v>
      </c>
      <c r="N14" s="68">
        <v>6.343853657212696</v>
      </c>
      <c r="O14" s="68">
        <v>6.8015616804501944</v>
      </c>
      <c r="P14" s="68">
        <v>7.8046818103031681</v>
      </c>
      <c r="Q14" s="68">
        <v>11.698287107390723</v>
      </c>
      <c r="R14" s="11"/>
      <c r="S14" s="68">
        <f t="shared" si="28"/>
        <v>4.8967254269405283</v>
      </c>
      <c r="T14" s="68">
        <f>'RD T1'!E71</f>
        <v>3.8826140017094146</v>
      </c>
      <c r="U14" s="68">
        <f t="shared" si="29"/>
        <v>8.7793394286499424</v>
      </c>
      <c r="W14" t="str">
        <f t="shared" si="30"/>
        <v>31 Science, engineering and technology associate professionals</v>
      </c>
      <c r="X14" s="68">
        <v>11.174138328932369</v>
      </c>
      <c r="Y14" s="68">
        <v>12.84328596175167</v>
      </c>
      <c r="Z14" s="68">
        <v>13.979883171258711</v>
      </c>
      <c r="AA14" s="68">
        <v>13.17344198938391</v>
      </c>
      <c r="AB14" s="68">
        <v>14.199143413899312</v>
      </c>
      <c r="AC14" s="68"/>
      <c r="AD14" s="68">
        <f t="shared" si="31"/>
        <v>0.21926024264060118</v>
      </c>
      <c r="AE14" s="68">
        <f>'RD T1'!E100</f>
        <v>6.276409699871432</v>
      </c>
      <c r="AF14" s="68">
        <f t="shared" si="32"/>
        <v>6.4956699425120332</v>
      </c>
      <c r="AH14" t="str">
        <f t="shared" si="33"/>
        <v>31 Science, engineering and technology associate professionals</v>
      </c>
      <c r="AI14" s="68">
        <v>2.0923353800091884</v>
      </c>
      <c r="AJ14" s="68">
        <v>2.5544932547850094</v>
      </c>
      <c r="AK14" s="68">
        <v>2.619567171501016</v>
      </c>
      <c r="AL14" s="68">
        <v>2.7440174448245771</v>
      </c>
      <c r="AM14" s="68">
        <v>3.4964502883032229</v>
      </c>
      <c r="AN14" s="68"/>
      <c r="AO14" s="68">
        <f t="shared" si="34"/>
        <v>0.87688311680220687</v>
      </c>
      <c r="AP14" s="68">
        <f>'RD T1'!E129</f>
        <v>1.4317684008956337</v>
      </c>
      <c r="AQ14" s="68">
        <f t="shared" si="35"/>
        <v>2.3086515176978404</v>
      </c>
      <c r="AS14" t="str">
        <f t="shared" si="36"/>
        <v>31 Science, engineering and technology associate professionals</v>
      </c>
      <c r="AT14" s="68">
        <v>5.446669969644848</v>
      </c>
      <c r="AU14" s="68">
        <v>5.8981379910392633</v>
      </c>
      <c r="AV14" s="68">
        <v>5.9989599882081519</v>
      </c>
      <c r="AW14" s="68">
        <v>5.1352746482975435</v>
      </c>
      <c r="AX14" s="68">
        <v>4.9511863224315293</v>
      </c>
      <c r="AY14" s="68"/>
      <c r="AZ14" s="68">
        <f t="shared" si="37"/>
        <v>-1.0477736657766226</v>
      </c>
      <c r="BA14" s="68">
        <f>'RD T1'!E158</f>
        <v>2.073329977252234</v>
      </c>
      <c r="BB14" s="68">
        <f t="shared" si="38"/>
        <v>1.0255563114756114</v>
      </c>
      <c r="BD14" t="str">
        <f t="shared" si="39"/>
        <v>31 Science, engineering and technology associate professionals</v>
      </c>
      <c r="BE14" s="68">
        <v>9.0895204873872402</v>
      </c>
      <c r="BF14" s="68">
        <v>9.9522592036934281</v>
      </c>
      <c r="BG14" s="68">
        <v>11.034667114931107</v>
      </c>
      <c r="BH14" s="68">
        <v>8.2192347038389677</v>
      </c>
      <c r="BI14" s="68">
        <v>6.5680695797320956</v>
      </c>
      <c r="BJ14" s="68"/>
      <c r="BK14" s="68">
        <f t="shared" si="40"/>
        <v>-4.4665975351990115</v>
      </c>
      <c r="BL14" s="68">
        <f>'RD T1'!E187</f>
        <v>2.6603199461254561</v>
      </c>
      <c r="BM14" s="68">
        <f t="shared" si="41"/>
        <v>-1.8062775890735554</v>
      </c>
      <c r="BO14" t="str">
        <f t="shared" si="42"/>
        <v>31 Science, engineering and technology associate professionals</v>
      </c>
      <c r="BP14" s="68">
        <v>6.1318128286599478</v>
      </c>
      <c r="BQ14" s="68">
        <v>6.7088074140772838</v>
      </c>
      <c r="BR14" s="68">
        <v>7.7253427562794625</v>
      </c>
      <c r="BS14" s="68">
        <v>5.7917376906360767</v>
      </c>
      <c r="BT14" s="68">
        <v>5.0873330896412652</v>
      </c>
      <c r="BU14" s="68"/>
      <c r="BV14" s="68">
        <f t="shared" si="43"/>
        <v>-2.6380096666381974</v>
      </c>
      <c r="BW14" s="68">
        <f>'RD T1'!E216</f>
        <v>2.2683764746482291</v>
      </c>
      <c r="BX14" s="68">
        <f t="shared" si="44"/>
        <v>-0.36963319198996825</v>
      </c>
      <c r="BZ14" t="str">
        <f t="shared" si="45"/>
        <v>31 Science, engineering and technology associate professionals</v>
      </c>
      <c r="CA14" s="68">
        <v>4.169002409002684</v>
      </c>
      <c r="CB14" s="68">
        <v>6.0415734756252926</v>
      </c>
      <c r="CC14" s="68">
        <v>6.5715146128025523</v>
      </c>
      <c r="CD14" s="68">
        <v>5.298046301857771</v>
      </c>
      <c r="CE14" s="68">
        <v>4.7925180641339713</v>
      </c>
      <c r="CF14" s="68"/>
      <c r="CG14" s="68">
        <f t="shared" si="46"/>
        <v>-1.778996548668581</v>
      </c>
      <c r="CH14" s="68">
        <f>'RD T1'!E245</f>
        <v>1.7118999040863472</v>
      </c>
      <c r="CI14" s="68">
        <f t="shared" si="47"/>
        <v>-6.7096644582233855E-2</v>
      </c>
      <c r="CK14" t="str">
        <f t="shared" si="48"/>
        <v>31 Science, engineering and technology associate professionals</v>
      </c>
      <c r="CL14" s="68">
        <v>0.606506849258581</v>
      </c>
      <c r="CM14" s="68">
        <v>0.83282562382886638</v>
      </c>
      <c r="CN14" s="68">
        <v>1.1813592117330669</v>
      </c>
      <c r="CO14" s="68">
        <v>1.1609828209610191</v>
      </c>
      <c r="CP14" s="68">
        <v>1.3872341422974657</v>
      </c>
      <c r="CQ14" s="68"/>
      <c r="CR14" s="68">
        <f t="shared" si="49"/>
        <v>0.20587493056439876</v>
      </c>
      <c r="CS14" s="68">
        <f>'RD T1'!E274</f>
        <v>0.48251903939890572</v>
      </c>
      <c r="CT14" s="68">
        <f t="shared" si="50"/>
        <v>0.68839396996330449</v>
      </c>
    </row>
    <row r="15" spans="1:98" x14ac:dyDescent="0.2">
      <c r="A15" s="10" t="str">
        <f>name!D11</f>
        <v>32 Health and social care associate professionals</v>
      </c>
      <c r="B15" s="68">
        <v>0.2570275093469217</v>
      </c>
      <c r="C15" s="68">
        <v>0.33730211962202489</v>
      </c>
      <c r="D15" s="68">
        <v>0.28687145918484741</v>
      </c>
      <c r="E15" s="68">
        <v>0.40857863092694113</v>
      </c>
      <c r="F15" s="68">
        <v>0.71925240460448769</v>
      </c>
      <c r="G15" s="11"/>
      <c r="H15" s="68">
        <f t="shared" si="51"/>
        <v>0.43238094541964028</v>
      </c>
      <c r="I15" s="68">
        <f>'RD T1'!E43</f>
        <v>0.29095961776701623</v>
      </c>
      <c r="J15" s="68">
        <f t="shared" si="26"/>
        <v>0.72334056318665652</v>
      </c>
      <c r="L15" t="str">
        <f t="shared" si="27"/>
        <v>32 Health and social care associate professionals</v>
      </c>
      <c r="M15" s="68">
        <v>4.9705985682371798</v>
      </c>
      <c r="N15" s="68">
        <v>6.4677704842295549</v>
      </c>
      <c r="O15" s="68">
        <v>6.5249208233257976</v>
      </c>
      <c r="P15" s="68">
        <v>8.5480120451834569</v>
      </c>
      <c r="Q15" s="68">
        <v>14.437932683150436</v>
      </c>
      <c r="R15" s="11"/>
      <c r="S15" s="68">
        <f t="shared" si="28"/>
        <v>7.9130118598246382</v>
      </c>
      <c r="T15" s="68">
        <f>'RD T1'!E72</f>
        <v>5.9444068823780896</v>
      </c>
      <c r="U15" s="68">
        <f t="shared" si="29"/>
        <v>13.857418742202729</v>
      </c>
      <c r="W15" t="str">
        <f t="shared" si="30"/>
        <v>32 Health and social care associate professionals</v>
      </c>
      <c r="X15" s="68">
        <v>15.942472529813992</v>
      </c>
      <c r="Y15" s="68">
        <v>16.448837322164742</v>
      </c>
      <c r="Z15" s="68">
        <v>17.405654070293693</v>
      </c>
      <c r="AA15" s="68">
        <v>20.119801139351878</v>
      </c>
      <c r="AB15" s="68">
        <v>24.709190376200716</v>
      </c>
      <c r="AC15" s="68"/>
      <c r="AD15" s="68">
        <f t="shared" si="31"/>
        <v>7.3035363059070235</v>
      </c>
      <c r="AE15" s="68">
        <f>'RD T1'!E101</f>
        <v>13.867275115615426</v>
      </c>
      <c r="AF15" s="68">
        <f t="shared" si="32"/>
        <v>21.170811421522451</v>
      </c>
      <c r="AH15" t="str">
        <f t="shared" si="33"/>
        <v>32 Health and social care associate professionals</v>
      </c>
      <c r="AI15" s="68">
        <v>11.15682483577184</v>
      </c>
      <c r="AJ15" s="68">
        <v>8.653012621699034</v>
      </c>
      <c r="AK15" s="68">
        <v>8.6616181194705018</v>
      </c>
      <c r="AL15" s="68">
        <v>6.8410616542336147</v>
      </c>
      <c r="AM15" s="68">
        <v>4.3727692840327537</v>
      </c>
      <c r="AN15" s="68"/>
      <c r="AO15" s="68">
        <f t="shared" si="34"/>
        <v>-4.2888488354377481</v>
      </c>
      <c r="AP15" s="68">
        <f>'RD T1'!E130</f>
        <v>2.7941135241674555</v>
      </c>
      <c r="AQ15" s="68">
        <f t="shared" si="35"/>
        <v>-1.4947353112702926</v>
      </c>
      <c r="AS15" t="str">
        <f t="shared" si="36"/>
        <v>32 Health and social care associate professionals</v>
      </c>
      <c r="AT15" s="68">
        <v>2.4930427248164913</v>
      </c>
      <c r="AU15" s="68">
        <v>2.5582119866870894</v>
      </c>
      <c r="AV15" s="68">
        <v>2.9064290622236499</v>
      </c>
      <c r="AW15" s="68">
        <v>3.0028143093317028</v>
      </c>
      <c r="AX15" s="68">
        <v>3.4123378561529893</v>
      </c>
      <c r="AY15" s="68"/>
      <c r="AZ15" s="68">
        <f t="shared" si="37"/>
        <v>0.50590879392933941</v>
      </c>
      <c r="BA15" s="68">
        <f>'RD T1'!E159</f>
        <v>1.8658040010829964</v>
      </c>
      <c r="BB15" s="68">
        <f t="shared" si="38"/>
        <v>2.3717127950123356</v>
      </c>
      <c r="BD15" t="str">
        <f t="shared" si="39"/>
        <v>32 Health and social care associate professionals</v>
      </c>
      <c r="BE15" s="68">
        <v>9.1418862305003241</v>
      </c>
      <c r="BF15" s="68">
        <v>11.927638097638814</v>
      </c>
      <c r="BG15" s="68">
        <v>11.898376500734313</v>
      </c>
      <c r="BH15" s="68">
        <v>12.648547887270063</v>
      </c>
      <c r="BI15" s="68">
        <v>14.922821739273781</v>
      </c>
      <c r="BJ15" s="68"/>
      <c r="BK15" s="68">
        <f t="shared" si="40"/>
        <v>3.0244452385394673</v>
      </c>
      <c r="BL15" s="68">
        <f>'RD T1'!E188</f>
        <v>7.1503818058766626</v>
      </c>
      <c r="BM15" s="68">
        <f t="shared" si="41"/>
        <v>10.17482704441613</v>
      </c>
      <c r="BO15" t="str">
        <f t="shared" si="42"/>
        <v>32 Health and social care associate professionals</v>
      </c>
      <c r="BP15" s="68">
        <v>7.9279771935461305</v>
      </c>
      <c r="BQ15" s="68">
        <v>8.9429400316916148</v>
      </c>
      <c r="BR15" s="68">
        <v>8.1546963862115991</v>
      </c>
      <c r="BS15" s="68">
        <v>7.2949228578901311</v>
      </c>
      <c r="BT15" s="68">
        <v>5.5802788727442927</v>
      </c>
      <c r="BU15" s="68"/>
      <c r="BV15" s="68">
        <f t="shared" si="43"/>
        <v>-2.5744175134673064</v>
      </c>
      <c r="BW15" s="68">
        <f>'RD T1'!E217</f>
        <v>3.6237876927401111</v>
      </c>
      <c r="BX15" s="68">
        <f t="shared" si="44"/>
        <v>1.0493701792728047</v>
      </c>
      <c r="BZ15" t="str">
        <f t="shared" si="45"/>
        <v>32 Health and social care associate professionals</v>
      </c>
      <c r="CA15" s="68">
        <v>2.5572257243897947</v>
      </c>
      <c r="CB15" s="68">
        <v>2.8511590770731048</v>
      </c>
      <c r="CC15" s="68">
        <v>2.6867599049150916</v>
      </c>
      <c r="CD15" s="68">
        <v>2.2921553441936786</v>
      </c>
      <c r="CE15" s="68">
        <v>1.717788410134955</v>
      </c>
      <c r="CF15" s="68"/>
      <c r="CG15" s="68">
        <f t="shared" si="46"/>
        <v>-0.96897149478013667</v>
      </c>
      <c r="CH15" s="68">
        <f>'RD T1'!E246</f>
        <v>0.82802674869404547</v>
      </c>
      <c r="CI15" s="68">
        <f t="shared" si="47"/>
        <v>-0.1409447460860912</v>
      </c>
      <c r="CK15" t="str">
        <f t="shared" si="48"/>
        <v>32 Health and social care associate professionals</v>
      </c>
      <c r="CL15" s="68">
        <v>0.25629331506704994</v>
      </c>
      <c r="CM15" s="68">
        <v>0.25569358947980808</v>
      </c>
      <c r="CN15" s="68">
        <v>0.36587439527527432</v>
      </c>
      <c r="CO15" s="68">
        <v>0.38986938812876304</v>
      </c>
      <c r="CP15" s="68">
        <v>0.48562987528121676</v>
      </c>
      <c r="CQ15" s="68"/>
      <c r="CR15" s="68">
        <f t="shared" si="49"/>
        <v>0.11975548000594244</v>
      </c>
      <c r="CS15" s="68">
        <f>'RD T1'!E275</f>
        <v>0.18789527044891022</v>
      </c>
      <c r="CT15" s="68">
        <f t="shared" si="50"/>
        <v>0.30765075045485268</v>
      </c>
    </row>
    <row r="16" spans="1:98" x14ac:dyDescent="0.2">
      <c r="A16" s="10" t="str">
        <f>name!D12</f>
        <v>33 Protective service occupations</v>
      </c>
      <c r="B16" s="68">
        <v>6.7047304241514977E-2</v>
      </c>
      <c r="C16" s="68">
        <v>7.8033913360671767E-2</v>
      </c>
      <c r="D16" s="68">
        <v>8.2904779256705433E-2</v>
      </c>
      <c r="E16" s="68">
        <v>0.1489452000514396</v>
      </c>
      <c r="F16" s="68">
        <v>0.26220177110999904</v>
      </c>
      <c r="G16" s="11"/>
      <c r="H16" s="68">
        <f t="shared" si="51"/>
        <v>0.17929699185329362</v>
      </c>
      <c r="I16" s="68">
        <f>'RD T1'!E44</f>
        <v>5.6463693424026989E-2</v>
      </c>
      <c r="J16" s="68">
        <f t="shared" si="26"/>
        <v>0.23576068527732061</v>
      </c>
      <c r="L16" t="str">
        <f t="shared" si="27"/>
        <v>33 Protective service occupations</v>
      </c>
      <c r="M16" s="68">
        <v>0.96752877249599767</v>
      </c>
      <c r="N16" s="68">
        <v>1.2060505251114508</v>
      </c>
      <c r="O16" s="68">
        <v>1.263930718428014</v>
      </c>
      <c r="P16" s="68">
        <v>2.1207620793342157</v>
      </c>
      <c r="Q16" s="68">
        <v>3.8076974386953131</v>
      </c>
      <c r="R16" s="11"/>
      <c r="S16" s="68">
        <f t="shared" si="28"/>
        <v>2.5437667202672989</v>
      </c>
      <c r="T16" s="68">
        <f>'RD T1'!E73</f>
        <v>0.78838520061713235</v>
      </c>
      <c r="U16" s="68">
        <f t="shared" si="29"/>
        <v>3.3321519208844315</v>
      </c>
      <c r="W16" t="str">
        <f t="shared" si="30"/>
        <v>33 Protective service occupations</v>
      </c>
      <c r="X16" s="68">
        <v>4.2275381793827584</v>
      </c>
      <c r="Y16" s="68">
        <v>4.5814638956260136</v>
      </c>
      <c r="Z16" s="68">
        <v>5.1152319471523189</v>
      </c>
      <c r="AA16" s="68">
        <v>7.1597786634700187</v>
      </c>
      <c r="AB16" s="68">
        <v>9.7050093420473758</v>
      </c>
      <c r="AC16" s="68"/>
      <c r="AD16" s="68">
        <f t="shared" si="31"/>
        <v>4.5897773948950569</v>
      </c>
      <c r="AE16" s="68">
        <f>'RD T1'!E102</f>
        <v>3.3275040012979078</v>
      </c>
      <c r="AF16" s="68">
        <f t="shared" si="32"/>
        <v>7.9172813961929647</v>
      </c>
      <c r="AH16" t="str">
        <f t="shared" si="33"/>
        <v>33 Protective service occupations</v>
      </c>
      <c r="AI16" s="68">
        <v>1.1606829004672627</v>
      </c>
      <c r="AJ16" s="68">
        <v>1.2207878490183195</v>
      </c>
      <c r="AK16" s="68">
        <v>1.3734033882784735</v>
      </c>
      <c r="AL16" s="68">
        <v>1.9097979383498136</v>
      </c>
      <c r="AM16" s="68">
        <v>2.584291511749889</v>
      </c>
      <c r="AN16" s="68"/>
      <c r="AO16" s="68">
        <f t="shared" si="34"/>
        <v>1.2108881234714155</v>
      </c>
      <c r="AP16" s="68">
        <f>'RD T1'!E131</f>
        <v>0.79051159138122618</v>
      </c>
      <c r="AQ16" s="68">
        <f t="shared" si="35"/>
        <v>2.0013997148526417</v>
      </c>
      <c r="AS16" t="str">
        <f t="shared" si="36"/>
        <v>33 Protective service occupations</v>
      </c>
      <c r="AT16" s="68">
        <v>1.0679884525664844</v>
      </c>
      <c r="AU16" s="68">
        <v>0.98404186231146396</v>
      </c>
      <c r="AV16" s="68">
        <v>1.0904037096248682</v>
      </c>
      <c r="AW16" s="68">
        <v>1.2803814946211267</v>
      </c>
      <c r="AX16" s="68">
        <v>1.4008016406155639</v>
      </c>
      <c r="AY16" s="68"/>
      <c r="AZ16" s="68">
        <f t="shared" si="37"/>
        <v>0.31039793099069568</v>
      </c>
      <c r="BA16" s="68">
        <f>'RD T1'!E160</f>
        <v>0.48205428463871014</v>
      </c>
      <c r="BB16" s="68">
        <f t="shared" si="38"/>
        <v>0.79245221562940582</v>
      </c>
      <c r="BD16" t="str">
        <f t="shared" si="39"/>
        <v>33 Protective service occupations</v>
      </c>
      <c r="BE16" s="68">
        <v>4.3444240755915162</v>
      </c>
      <c r="BF16" s="68">
        <v>4.1811216687728887</v>
      </c>
      <c r="BG16" s="68">
        <v>4.3480756415272603</v>
      </c>
      <c r="BH16" s="68">
        <v>4.9959239865671963</v>
      </c>
      <c r="BI16" s="68">
        <v>4.9835760003105696</v>
      </c>
      <c r="BJ16" s="68"/>
      <c r="BK16" s="68">
        <f t="shared" si="40"/>
        <v>0.63550035878330924</v>
      </c>
      <c r="BL16" s="68">
        <f>'RD T1'!E189</f>
        <v>1.1712179230398583</v>
      </c>
      <c r="BM16" s="68">
        <f t="shared" si="41"/>
        <v>1.8067182818231675</v>
      </c>
      <c r="BO16" t="str">
        <f t="shared" si="42"/>
        <v>33 Protective service occupations</v>
      </c>
      <c r="BP16" s="68">
        <v>4.6081811714795116</v>
      </c>
      <c r="BQ16" s="68">
        <v>4.3723826081462791</v>
      </c>
      <c r="BR16" s="68">
        <v>4.7646743513337775</v>
      </c>
      <c r="BS16" s="68">
        <v>4.8562600862018499</v>
      </c>
      <c r="BT16" s="68">
        <v>3.5652700073355481</v>
      </c>
      <c r="BU16" s="68"/>
      <c r="BV16" s="68">
        <f t="shared" si="43"/>
        <v>-1.1994043439982294</v>
      </c>
      <c r="BW16" s="68">
        <f>'RD T1'!E218</f>
        <v>1.3621134847474687</v>
      </c>
      <c r="BX16" s="68">
        <f t="shared" si="44"/>
        <v>0.16270914074923937</v>
      </c>
      <c r="BZ16" t="str">
        <f t="shared" si="45"/>
        <v>33 Protective service occupations</v>
      </c>
      <c r="CA16" s="68">
        <v>2.2250511826477508</v>
      </c>
      <c r="CB16" s="68">
        <v>2.8076398879934494</v>
      </c>
      <c r="CC16" s="68">
        <v>2.8310036908184895</v>
      </c>
      <c r="CD16" s="68">
        <v>3.247857582871303</v>
      </c>
      <c r="CE16" s="68">
        <v>3.3872582026874021</v>
      </c>
      <c r="CF16" s="68"/>
      <c r="CG16" s="68">
        <f t="shared" si="46"/>
        <v>0.55625451186891262</v>
      </c>
      <c r="CH16" s="68">
        <f>'RD T1'!E247</f>
        <v>0.99910800504525832</v>
      </c>
      <c r="CI16" s="68">
        <f t="shared" si="47"/>
        <v>1.5553625169141709</v>
      </c>
      <c r="CK16" t="str">
        <f t="shared" si="48"/>
        <v>33 Protective service occupations</v>
      </c>
      <c r="CL16" s="68">
        <v>0.25001471748406118</v>
      </c>
      <c r="CM16" s="68">
        <v>0.22511420286323189</v>
      </c>
      <c r="CN16" s="68">
        <v>0.32760152806551623</v>
      </c>
      <c r="CO16" s="68">
        <v>0.24863497556464825</v>
      </c>
      <c r="CP16" s="68">
        <v>0.26522043211359991</v>
      </c>
      <c r="CQ16" s="68"/>
      <c r="CR16" s="68">
        <f t="shared" si="49"/>
        <v>-6.2381095951916321E-2</v>
      </c>
      <c r="CS16" s="68">
        <f>'RD T1'!E276</f>
        <v>5.7813165817243078E-2</v>
      </c>
      <c r="CT16" s="68">
        <f t="shared" si="50"/>
        <v>-4.5679301346732426E-3</v>
      </c>
    </row>
    <row r="17" spans="1:98" x14ac:dyDescent="0.2">
      <c r="A17" s="10" t="str">
        <f>name!D13</f>
        <v>34 Culture, media and sports occupations</v>
      </c>
      <c r="B17" s="68">
        <v>0.52479644133124792</v>
      </c>
      <c r="C17" s="68">
        <v>0.87102860953161487</v>
      </c>
      <c r="D17" s="68">
        <v>0.82818543440191283</v>
      </c>
      <c r="E17" s="68">
        <v>1.0292099949894797</v>
      </c>
      <c r="F17" s="68">
        <v>1.5705261482523103</v>
      </c>
      <c r="G17" s="11"/>
      <c r="H17" s="68">
        <f t="shared" si="51"/>
        <v>0.74234071385039746</v>
      </c>
      <c r="I17" s="68">
        <f>'RD T1'!E45</f>
        <v>0.63290002228099229</v>
      </c>
      <c r="J17" s="68">
        <f t="shared" si="26"/>
        <v>1.3752407361313899</v>
      </c>
      <c r="L17" t="str">
        <f t="shared" si="27"/>
        <v>34 Culture, media and sports occupations</v>
      </c>
      <c r="M17" s="68">
        <v>9.2104740948760533</v>
      </c>
      <c r="N17" s="68">
        <v>12.598916157229775</v>
      </c>
      <c r="O17" s="68">
        <v>12.99899389438759</v>
      </c>
      <c r="P17" s="68">
        <v>16.58930082078281</v>
      </c>
      <c r="Q17" s="68">
        <v>25.192409528451943</v>
      </c>
      <c r="R17" s="11"/>
      <c r="S17" s="68">
        <f t="shared" si="28"/>
        <v>12.193415634064353</v>
      </c>
      <c r="T17" s="68">
        <f>'RD T1'!E74</f>
        <v>9.8497954742493512</v>
      </c>
      <c r="U17" s="68">
        <f t="shared" si="29"/>
        <v>22.043211108313706</v>
      </c>
      <c r="W17" t="str">
        <f t="shared" si="30"/>
        <v>34 Culture, media and sports occupations</v>
      </c>
      <c r="X17" s="68">
        <v>21.764866866286823</v>
      </c>
      <c r="Y17" s="68">
        <v>22.165024368596377</v>
      </c>
      <c r="Z17" s="68">
        <v>22.382582359197023</v>
      </c>
      <c r="AA17" s="68">
        <v>23.813540965683636</v>
      </c>
      <c r="AB17" s="68">
        <v>25.769710251164646</v>
      </c>
      <c r="AC17" s="68"/>
      <c r="AD17" s="68">
        <f t="shared" si="31"/>
        <v>3.3871278919676229</v>
      </c>
      <c r="AE17" s="68">
        <f>'RD T1'!E103</f>
        <v>12.461561056231197</v>
      </c>
      <c r="AF17" s="68">
        <f t="shared" si="32"/>
        <v>15.84868894819882</v>
      </c>
      <c r="AH17" t="str">
        <f t="shared" si="33"/>
        <v>34 Culture, media and sports occupations</v>
      </c>
      <c r="AI17" s="68">
        <v>2.5355554234101669</v>
      </c>
      <c r="AJ17" s="68">
        <v>2.3677477588089726</v>
      </c>
      <c r="AK17" s="68">
        <v>2.9180580442792641</v>
      </c>
      <c r="AL17" s="68">
        <v>3.0967297016572912</v>
      </c>
      <c r="AM17" s="68">
        <v>3.8254919302310357</v>
      </c>
      <c r="AN17" s="68"/>
      <c r="AO17" s="68">
        <f t="shared" si="34"/>
        <v>0.90743388595177166</v>
      </c>
      <c r="AP17" s="68">
        <f>'RD T1'!E132</f>
        <v>1.6920666236891322</v>
      </c>
      <c r="AQ17" s="68">
        <f t="shared" si="35"/>
        <v>2.5995005096409036</v>
      </c>
      <c r="AS17" t="str">
        <f t="shared" si="36"/>
        <v>34 Culture, media and sports occupations</v>
      </c>
      <c r="AT17" s="68">
        <v>3.8324826709800104</v>
      </c>
      <c r="AU17" s="68">
        <v>3.6819125436878792</v>
      </c>
      <c r="AV17" s="68">
        <v>3.7152964223872011</v>
      </c>
      <c r="AW17" s="68">
        <v>3.7174375289951764</v>
      </c>
      <c r="AX17" s="68">
        <v>3.8085966850728692</v>
      </c>
      <c r="AY17" s="68"/>
      <c r="AZ17" s="68">
        <f t="shared" si="37"/>
        <v>9.3300262685668045E-2</v>
      </c>
      <c r="BA17" s="68">
        <f>'RD T1'!E161</f>
        <v>1.8440305335012293</v>
      </c>
      <c r="BB17" s="68">
        <f t="shared" si="38"/>
        <v>1.9373307961868973</v>
      </c>
      <c r="BD17" t="str">
        <f t="shared" si="39"/>
        <v>34 Culture, media and sports occupations</v>
      </c>
      <c r="BE17" s="68">
        <v>10.108566488315965</v>
      </c>
      <c r="BF17" s="68">
        <v>10.583171051684582</v>
      </c>
      <c r="BG17" s="68">
        <v>9.8741789490943717</v>
      </c>
      <c r="BH17" s="68">
        <v>9.5890808511679513</v>
      </c>
      <c r="BI17" s="68">
        <v>10.46222058735308</v>
      </c>
      <c r="BJ17" s="68"/>
      <c r="BK17" s="68">
        <f t="shared" si="40"/>
        <v>0.58804163825870859</v>
      </c>
      <c r="BL17" s="68">
        <f>'RD T1'!E190</f>
        <v>3.8601513064181465</v>
      </c>
      <c r="BM17" s="68">
        <f t="shared" si="41"/>
        <v>4.4481929446768547</v>
      </c>
      <c r="BO17" t="str">
        <f t="shared" si="42"/>
        <v>34 Culture, media and sports occupations</v>
      </c>
      <c r="BP17" s="68">
        <v>5.3739316544141058</v>
      </c>
      <c r="BQ17" s="68">
        <v>5.0091592524378674</v>
      </c>
      <c r="BR17" s="68">
        <v>4.3464910515801192</v>
      </c>
      <c r="BS17" s="68">
        <v>3.2561386030048505</v>
      </c>
      <c r="BT17" s="68">
        <v>1.7974905292070478</v>
      </c>
      <c r="BU17" s="68"/>
      <c r="BV17" s="68">
        <f t="shared" si="43"/>
        <v>-2.5490005223730714</v>
      </c>
      <c r="BW17" s="68">
        <f>'RD T1'!E219</f>
        <v>1.1161710202786239</v>
      </c>
      <c r="BX17" s="68">
        <f t="shared" si="44"/>
        <v>-1.4328295020944475</v>
      </c>
      <c r="BZ17" t="str">
        <f t="shared" si="45"/>
        <v>34 Culture, media and sports occupations</v>
      </c>
      <c r="CA17" s="68">
        <v>3.6292180840862565</v>
      </c>
      <c r="CB17" s="68">
        <v>4.522460015785648</v>
      </c>
      <c r="CC17" s="68">
        <v>4.102207798422846</v>
      </c>
      <c r="CD17" s="68">
        <v>3.4047477642874453</v>
      </c>
      <c r="CE17" s="68">
        <v>2.6915827513515431</v>
      </c>
      <c r="CF17" s="68"/>
      <c r="CG17" s="68">
        <f t="shared" si="46"/>
        <v>-1.4106250470713029</v>
      </c>
      <c r="CH17" s="68">
        <f>'RD T1'!E248</f>
        <v>1.1265584121803716</v>
      </c>
      <c r="CI17" s="68">
        <f t="shared" si="47"/>
        <v>-0.28406663489093131</v>
      </c>
      <c r="CK17" t="str">
        <f t="shared" si="48"/>
        <v>34 Culture, media and sports occupations</v>
      </c>
      <c r="CL17" s="68">
        <v>0.65358801667997879</v>
      </c>
      <c r="CM17" s="68">
        <v>0.84294363827939089</v>
      </c>
      <c r="CN17" s="68">
        <v>1.0214504620146041</v>
      </c>
      <c r="CO17" s="68">
        <v>0.8999049226460023</v>
      </c>
      <c r="CP17" s="68">
        <v>0.74301559233725878</v>
      </c>
      <c r="CQ17" s="68"/>
      <c r="CR17" s="68">
        <f t="shared" si="49"/>
        <v>-0.27843486967734532</v>
      </c>
      <c r="CS17" s="68">
        <f>'RD T1'!E277</f>
        <v>0.29787569931444946</v>
      </c>
      <c r="CT17" s="68">
        <f t="shared" si="50"/>
        <v>1.944082963710414E-2</v>
      </c>
    </row>
    <row r="18" spans="1:98" x14ac:dyDescent="0.2">
      <c r="A18" s="10" t="str">
        <f>name!D14</f>
        <v>35 Business and public service associate professionals</v>
      </c>
      <c r="B18" s="68">
        <v>1.7750063376659708</v>
      </c>
      <c r="C18" s="68">
        <v>2.2957402507511953</v>
      </c>
      <c r="D18" s="68">
        <v>2.2004651952359144</v>
      </c>
      <c r="E18" s="68">
        <v>2.8839250437672574</v>
      </c>
      <c r="F18" s="68">
        <v>4.4691595775141284</v>
      </c>
      <c r="G18" s="11"/>
      <c r="H18" s="68">
        <f t="shared" si="51"/>
        <v>2.268694382278214</v>
      </c>
      <c r="I18" s="68">
        <f>'RD T1'!E46</f>
        <v>1.5397722820626001</v>
      </c>
      <c r="J18" s="68">
        <f t="shared" si="26"/>
        <v>3.808466664340814</v>
      </c>
      <c r="L18" t="str">
        <f t="shared" si="27"/>
        <v>35 Business and public service associate professionals</v>
      </c>
      <c r="M18" s="68">
        <v>18.4471155367726</v>
      </c>
      <c r="N18" s="68">
        <v>23.894327628152094</v>
      </c>
      <c r="O18" s="68">
        <v>25.034967688982544</v>
      </c>
      <c r="P18" s="68">
        <v>31.426148330137636</v>
      </c>
      <c r="Q18" s="68">
        <v>45.474550833438371</v>
      </c>
      <c r="R18" s="11"/>
      <c r="S18" s="68">
        <f t="shared" si="28"/>
        <v>20.439583144455828</v>
      </c>
      <c r="T18" s="68">
        <f>'RD T1'!E75</f>
        <v>17.276905069690187</v>
      </c>
      <c r="U18" s="68">
        <f t="shared" si="29"/>
        <v>37.716488214146011</v>
      </c>
      <c r="W18" t="str">
        <f t="shared" si="30"/>
        <v>35 Business and public service associate professionals</v>
      </c>
      <c r="X18" s="68">
        <v>42.289569323049896</v>
      </c>
      <c r="Y18" s="68">
        <v>43.163148693846516</v>
      </c>
      <c r="Z18" s="68">
        <v>45.439208545511313</v>
      </c>
      <c r="AA18" s="68">
        <v>46.687275830527049</v>
      </c>
      <c r="AB18" s="68">
        <v>48.276174727083742</v>
      </c>
      <c r="AC18" s="68"/>
      <c r="AD18" s="68">
        <f t="shared" si="31"/>
        <v>2.8369661815724285</v>
      </c>
      <c r="AE18" s="68">
        <f>'RD T1'!E104</f>
        <v>24.795497715368416</v>
      </c>
      <c r="AF18" s="68">
        <f t="shared" si="32"/>
        <v>27.632463896940845</v>
      </c>
      <c r="AH18" t="str">
        <f t="shared" si="33"/>
        <v>35 Business and public service associate professionals</v>
      </c>
      <c r="AI18" s="68">
        <v>10.967259636606078</v>
      </c>
      <c r="AJ18" s="68">
        <v>11.039205938226168</v>
      </c>
      <c r="AK18" s="68">
        <v>12.250608215701893</v>
      </c>
      <c r="AL18" s="68">
        <v>12.559790833508485</v>
      </c>
      <c r="AM18" s="68">
        <v>13.628304812884808</v>
      </c>
      <c r="AN18" s="68"/>
      <c r="AO18" s="68">
        <f t="shared" si="34"/>
        <v>1.3776965971829149</v>
      </c>
      <c r="AP18" s="68">
        <f>'RD T1'!E133</f>
        <v>6.411345142489842</v>
      </c>
      <c r="AQ18" s="68">
        <f t="shared" si="35"/>
        <v>7.7890417396727569</v>
      </c>
      <c r="AS18" t="str">
        <f t="shared" si="36"/>
        <v>35 Business and public service associate professionals</v>
      </c>
      <c r="AT18" s="68">
        <v>10.252897098947654</v>
      </c>
      <c r="AU18" s="68">
        <v>9.97845353914275</v>
      </c>
      <c r="AV18" s="68">
        <v>10.666065773412706</v>
      </c>
      <c r="AW18" s="68">
        <v>10.634314523731446</v>
      </c>
      <c r="AX18" s="68">
        <v>11.188976063994208</v>
      </c>
      <c r="AY18" s="68"/>
      <c r="AZ18" s="68">
        <f t="shared" si="37"/>
        <v>0.52291029058150151</v>
      </c>
      <c r="BA18" s="68">
        <f>'RD T1'!E162</f>
        <v>5.2951940412659066</v>
      </c>
      <c r="BB18" s="68">
        <f t="shared" si="38"/>
        <v>5.8181043318474082</v>
      </c>
      <c r="BD18" t="str">
        <f t="shared" si="39"/>
        <v>35 Business and public service associate professionals</v>
      </c>
      <c r="BE18" s="68">
        <v>32.157349395751432</v>
      </c>
      <c r="BF18" s="68">
        <v>34.6966444480028</v>
      </c>
      <c r="BG18" s="68">
        <v>35.706163026875487</v>
      </c>
      <c r="BH18" s="68">
        <v>32.481214867395543</v>
      </c>
      <c r="BI18" s="68">
        <v>31.652034715980989</v>
      </c>
      <c r="BJ18" s="68"/>
      <c r="BK18" s="68">
        <f t="shared" si="40"/>
        <v>-4.0541283108944981</v>
      </c>
      <c r="BL18" s="68">
        <f>'RD T1'!E191</f>
        <v>12.836508216598691</v>
      </c>
      <c r="BM18" s="68">
        <f t="shared" si="41"/>
        <v>8.7823799057041931</v>
      </c>
      <c r="BO18" t="str">
        <f t="shared" si="42"/>
        <v>35 Business and public service associate professionals</v>
      </c>
      <c r="BP18" s="68">
        <v>25.48236242188726</v>
      </c>
      <c r="BQ18" s="68">
        <v>24.469760406551138</v>
      </c>
      <c r="BR18" s="68">
        <v>25.950748970377603</v>
      </c>
      <c r="BS18" s="68">
        <v>20.47268182845216</v>
      </c>
      <c r="BT18" s="68">
        <v>15.167706353076442</v>
      </c>
      <c r="BU18" s="68"/>
      <c r="BV18" s="68">
        <f t="shared" si="43"/>
        <v>-10.783042617301161</v>
      </c>
      <c r="BW18" s="68">
        <f>'RD T1'!E220</f>
        <v>7.808718746465817</v>
      </c>
      <c r="BX18" s="68">
        <f t="shared" si="44"/>
        <v>-2.9743238708353443</v>
      </c>
      <c r="BZ18" t="str">
        <f t="shared" si="45"/>
        <v>35 Business and public service associate professionals</v>
      </c>
      <c r="CA18" s="68">
        <v>13.46536053800283</v>
      </c>
      <c r="CB18" s="68">
        <v>16.861880365310927</v>
      </c>
      <c r="CC18" s="68">
        <v>16.118578705636505</v>
      </c>
      <c r="CD18" s="68">
        <v>12.926057705201274</v>
      </c>
      <c r="CE18" s="68">
        <v>9.2956496686926648</v>
      </c>
      <c r="CF18" s="68"/>
      <c r="CG18" s="68">
        <f t="shared" si="46"/>
        <v>-6.8229290369438402</v>
      </c>
      <c r="CH18" s="68">
        <f>'RD T1'!E249</f>
        <v>3.8339833875206022</v>
      </c>
      <c r="CI18" s="68">
        <f t="shared" si="47"/>
        <v>-2.988945649423238</v>
      </c>
      <c r="CK18" t="str">
        <f t="shared" si="48"/>
        <v>35 Business and public service associate professionals</v>
      </c>
      <c r="CL18" s="68">
        <v>2.1134944689293134</v>
      </c>
      <c r="CM18" s="68">
        <v>2.281744197134298</v>
      </c>
      <c r="CN18" s="68">
        <v>2.8796165317419327</v>
      </c>
      <c r="CO18" s="68">
        <v>2.0608645476064975</v>
      </c>
      <c r="CP18" s="68">
        <v>1.5813317023766236</v>
      </c>
      <c r="CQ18" s="68"/>
      <c r="CR18" s="68">
        <f t="shared" si="49"/>
        <v>-1.2982848293653091</v>
      </c>
      <c r="CS18" s="68">
        <f>'RD T1'!E278</f>
        <v>0.6616170665038591</v>
      </c>
      <c r="CT18" s="68">
        <f t="shared" si="50"/>
        <v>-0.63666776286144999</v>
      </c>
    </row>
    <row r="19" spans="1:98" x14ac:dyDescent="0.2">
      <c r="A19" s="10" t="str">
        <f>name!D15</f>
        <v>41 Administrative occupations</v>
      </c>
      <c r="B19" s="68">
        <v>1.0290846304486829</v>
      </c>
      <c r="C19" s="68">
        <v>1.2938288856040048</v>
      </c>
      <c r="D19" s="68">
        <v>1.2752417971484493</v>
      </c>
      <c r="E19" s="68">
        <v>1.6964232975064619</v>
      </c>
      <c r="F19" s="68">
        <v>2.8467893128020427</v>
      </c>
      <c r="G19" s="11"/>
      <c r="H19" s="68">
        <f t="shared" si="51"/>
        <v>1.5715475156535934</v>
      </c>
      <c r="I19" s="68">
        <f>'RD T1'!E47</f>
        <v>1.1081945654452821</v>
      </c>
      <c r="J19" s="68">
        <f t="shared" si="26"/>
        <v>2.6797420810988752</v>
      </c>
      <c r="L19" t="str">
        <f t="shared" si="27"/>
        <v>41 Administrative occupations</v>
      </c>
      <c r="M19" s="68">
        <v>12.023775325566042</v>
      </c>
      <c r="N19" s="68">
        <v>14.985910935627475</v>
      </c>
      <c r="O19" s="68">
        <v>16.282504850446021</v>
      </c>
      <c r="P19" s="68">
        <v>20.852572624207976</v>
      </c>
      <c r="Q19" s="68">
        <v>33.033553362592173</v>
      </c>
      <c r="R19" s="11"/>
      <c r="S19" s="68">
        <f t="shared" si="28"/>
        <v>16.751048512146152</v>
      </c>
      <c r="T19" s="68">
        <f>'RD T1'!E76</f>
        <v>13.389130187555603</v>
      </c>
      <c r="U19" s="68">
        <f t="shared" si="29"/>
        <v>30.140178699701757</v>
      </c>
      <c r="W19" t="str">
        <f t="shared" si="30"/>
        <v>41 Administrative occupations</v>
      </c>
      <c r="X19" s="68">
        <v>42.477101166037976</v>
      </c>
      <c r="Y19" s="68">
        <v>40.797493196033294</v>
      </c>
      <c r="Z19" s="68">
        <v>46.598602866245891</v>
      </c>
      <c r="AA19" s="68">
        <v>50.491519619885594</v>
      </c>
      <c r="AB19" s="68">
        <v>57.498702951271547</v>
      </c>
      <c r="AC19" s="68"/>
      <c r="AD19" s="68">
        <f t="shared" si="31"/>
        <v>10.900100085025656</v>
      </c>
      <c r="AE19" s="68">
        <f>'RD T1'!E105</f>
        <v>30.566958840675532</v>
      </c>
      <c r="AF19" s="68">
        <f t="shared" si="32"/>
        <v>41.467058925701188</v>
      </c>
      <c r="AH19" t="str">
        <f t="shared" si="33"/>
        <v>41 Administrative occupations</v>
      </c>
      <c r="AI19" s="68">
        <v>16.136716578364588</v>
      </c>
      <c r="AJ19" s="68">
        <v>15.547166513129165</v>
      </c>
      <c r="AK19" s="68">
        <v>17.313558133832654</v>
      </c>
      <c r="AL19" s="68">
        <v>18.207548509831565</v>
      </c>
      <c r="AM19" s="68">
        <v>20.493244264571839</v>
      </c>
      <c r="AN19" s="68"/>
      <c r="AO19" s="68">
        <f t="shared" si="34"/>
        <v>3.179686130739185</v>
      </c>
      <c r="AP19" s="68">
        <f>'RD T1'!E134</f>
        <v>11.500197121497207</v>
      </c>
      <c r="AQ19" s="68">
        <f t="shared" si="35"/>
        <v>14.679883252236392</v>
      </c>
      <c r="AS19" t="str">
        <f t="shared" si="36"/>
        <v>41 Administrative occupations</v>
      </c>
      <c r="AT19" s="68">
        <v>15.492868351073279</v>
      </c>
      <c r="AU19" s="68">
        <v>15.013341465527729</v>
      </c>
      <c r="AV19" s="68">
        <v>16.919832848869135</v>
      </c>
      <c r="AW19" s="68">
        <v>17.489452068255428</v>
      </c>
      <c r="AX19" s="68">
        <v>19.419440952108733</v>
      </c>
      <c r="AY19" s="68"/>
      <c r="AZ19" s="68">
        <f t="shared" si="37"/>
        <v>2.4996081032395985</v>
      </c>
      <c r="BA19" s="68">
        <f>'RD T1'!E163</f>
        <v>10.390454010770938</v>
      </c>
      <c r="BB19" s="68">
        <f t="shared" si="38"/>
        <v>12.890062114010536</v>
      </c>
      <c r="BD19" t="str">
        <f t="shared" si="39"/>
        <v>41 Administrative occupations</v>
      </c>
      <c r="BE19" s="68">
        <v>51.510484658835679</v>
      </c>
      <c r="BF19" s="68">
        <v>52.969540941624558</v>
      </c>
      <c r="BG19" s="68">
        <v>54.676711228294039</v>
      </c>
      <c r="BH19" s="68">
        <v>49.90125249467598</v>
      </c>
      <c r="BI19" s="68">
        <v>43.829722091403674</v>
      </c>
      <c r="BJ19" s="68"/>
      <c r="BK19" s="68">
        <f t="shared" si="40"/>
        <v>-10.846989136890365</v>
      </c>
      <c r="BL19" s="68">
        <f>'RD T1'!E192</f>
        <v>21.821907004393612</v>
      </c>
      <c r="BM19" s="68">
        <f t="shared" si="41"/>
        <v>10.974917867503247</v>
      </c>
      <c r="BO19" t="str">
        <f t="shared" si="42"/>
        <v>41 Administrative occupations</v>
      </c>
      <c r="BP19" s="68">
        <v>59.907199514365225</v>
      </c>
      <c r="BQ19" s="68">
        <v>54.862512750958722</v>
      </c>
      <c r="BR19" s="68">
        <v>53.467972975610984</v>
      </c>
      <c r="BS19" s="68">
        <v>41.081009940500934</v>
      </c>
      <c r="BT19" s="68">
        <v>24.274082030820072</v>
      </c>
      <c r="BU19" s="68"/>
      <c r="BV19" s="68">
        <f t="shared" si="43"/>
        <v>-29.193890944790912</v>
      </c>
      <c r="BW19" s="68">
        <f>'RD T1'!E221</f>
        <v>16.219808689703267</v>
      </c>
      <c r="BX19" s="68">
        <f t="shared" si="44"/>
        <v>-12.974082255087644</v>
      </c>
      <c r="BZ19" t="str">
        <f t="shared" si="45"/>
        <v>41 Administrative occupations</v>
      </c>
      <c r="CA19" s="68">
        <v>26.852606379195795</v>
      </c>
      <c r="CB19" s="68">
        <v>28.191055700106901</v>
      </c>
      <c r="CC19" s="68">
        <v>28.910001256352519</v>
      </c>
      <c r="CD19" s="68">
        <v>19.359612306738754</v>
      </c>
      <c r="CE19" s="68">
        <v>7.2486487131625443</v>
      </c>
      <c r="CF19" s="68"/>
      <c r="CG19" s="68">
        <f t="shared" si="46"/>
        <v>-21.661352543189974</v>
      </c>
      <c r="CH19" s="68">
        <f>'RD T1'!E250</f>
        <v>5.3368320814132124</v>
      </c>
      <c r="CI19" s="68">
        <f t="shared" si="47"/>
        <v>-16.324520461776761</v>
      </c>
      <c r="CK19" t="str">
        <f t="shared" si="48"/>
        <v>41 Administrative occupations</v>
      </c>
      <c r="CL19" s="68">
        <v>5.2220683321789663</v>
      </c>
      <c r="CM19" s="68">
        <v>4.3254494082887707</v>
      </c>
      <c r="CN19" s="68">
        <v>4.8527312036754902</v>
      </c>
      <c r="CO19" s="68">
        <v>3.1337611496033473</v>
      </c>
      <c r="CP19" s="68">
        <v>1.443561817847141</v>
      </c>
      <c r="CQ19" s="68"/>
      <c r="CR19" s="68">
        <f t="shared" si="49"/>
        <v>-3.4091693858283492</v>
      </c>
      <c r="CS19" s="68">
        <f>'RD T1'!E279</f>
        <v>0.86347027489923822</v>
      </c>
      <c r="CT19" s="68">
        <f t="shared" si="50"/>
        <v>-2.5456991109291112</v>
      </c>
    </row>
    <row r="20" spans="1:98" x14ac:dyDescent="0.2">
      <c r="A20" s="10" t="str">
        <f>name!D16</f>
        <v>42 Secretarial and related occupations</v>
      </c>
      <c r="B20" s="68">
        <v>0.12348685657890361</v>
      </c>
      <c r="C20" s="68">
        <v>0.15804237454802561</v>
      </c>
      <c r="D20" s="68">
        <v>0.14427914954322413</v>
      </c>
      <c r="E20" s="68">
        <v>0.24478110399967401</v>
      </c>
      <c r="F20" s="68">
        <v>0.52899434851065308</v>
      </c>
      <c r="G20" s="11"/>
      <c r="H20" s="68">
        <f t="shared" si="51"/>
        <v>0.38471519896742895</v>
      </c>
      <c r="I20" s="68">
        <f>'RD T1'!E48</f>
        <v>0.21034010998129959</v>
      </c>
      <c r="J20" s="68">
        <f t="shared" si="26"/>
        <v>0.59505530894872849</v>
      </c>
      <c r="L20" t="str">
        <f t="shared" si="27"/>
        <v>42 Secretarial and related occupations</v>
      </c>
      <c r="M20" s="68">
        <v>2.4261614855749958</v>
      </c>
      <c r="N20" s="68">
        <v>2.6052041550546186</v>
      </c>
      <c r="O20" s="68">
        <v>2.7891772516098694</v>
      </c>
      <c r="P20" s="68">
        <v>4.752086408336468</v>
      </c>
      <c r="Q20" s="68">
        <v>6.8726017089283804</v>
      </c>
      <c r="R20" s="11"/>
      <c r="S20" s="68">
        <f t="shared" si="28"/>
        <v>4.083424457318511</v>
      </c>
      <c r="T20" s="68">
        <f>'RD T1'!E77</f>
        <v>3.0968683405324753</v>
      </c>
      <c r="U20" s="68">
        <f t="shared" si="29"/>
        <v>7.1802927978509867</v>
      </c>
      <c r="W20" t="str">
        <f t="shared" si="30"/>
        <v>42 Secretarial and related occupations</v>
      </c>
      <c r="X20" s="68">
        <v>8.2602728196517603</v>
      </c>
      <c r="Y20" s="68">
        <v>7.4990150468537022</v>
      </c>
      <c r="Z20" s="68">
        <v>8.0756080210196064</v>
      </c>
      <c r="AA20" s="68">
        <v>12.540810846624286</v>
      </c>
      <c r="AB20" s="68">
        <v>22.301527552357619</v>
      </c>
      <c r="AC20" s="68"/>
      <c r="AD20" s="68">
        <f t="shared" si="31"/>
        <v>14.225919531338013</v>
      </c>
      <c r="AE20" s="68">
        <f>'RD T1'!E106</f>
        <v>9.1577123288421625</v>
      </c>
      <c r="AF20" s="68">
        <f t="shared" si="32"/>
        <v>23.383631860180174</v>
      </c>
      <c r="AH20" t="str">
        <f t="shared" si="33"/>
        <v>42 Secretarial and related occupations</v>
      </c>
      <c r="AI20" s="68">
        <v>3.8833870451465256</v>
      </c>
      <c r="AJ20" s="68">
        <v>3.2563298074041631</v>
      </c>
      <c r="AK20" s="68">
        <v>3.7987545985084266</v>
      </c>
      <c r="AL20" s="68">
        <v>5.3038858995878053</v>
      </c>
      <c r="AM20" s="68">
        <v>6.0484332781630892</v>
      </c>
      <c r="AN20" s="68"/>
      <c r="AO20" s="68">
        <f t="shared" si="34"/>
        <v>2.2496786796546626</v>
      </c>
      <c r="AP20" s="68">
        <f>'RD T1'!E135</f>
        <v>3.4690676474853377</v>
      </c>
      <c r="AQ20" s="68">
        <f t="shared" si="35"/>
        <v>5.7187463271399999</v>
      </c>
      <c r="AS20" t="str">
        <f t="shared" si="36"/>
        <v>42 Secretarial and related occupations</v>
      </c>
      <c r="AT20" s="68">
        <v>3.1018714705224708</v>
      </c>
      <c r="AU20" s="68">
        <v>2.594470455663322</v>
      </c>
      <c r="AV20" s="68">
        <v>3.1668624783568413</v>
      </c>
      <c r="AW20" s="68">
        <v>4.0590567576840542</v>
      </c>
      <c r="AX20" s="68">
        <v>6.1342503042431309</v>
      </c>
      <c r="AY20" s="68"/>
      <c r="AZ20" s="68">
        <f t="shared" si="37"/>
        <v>2.9673878258862896</v>
      </c>
      <c r="BA20" s="68">
        <f>'RD T1'!E164</f>
        <v>2.4689401967340876</v>
      </c>
      <c r="BB20" s="68">
        <f t="shared" si="38"/>
        <v>5.4363280226203772</v>
      </c>
      <c r="BD20" t="str">
        <f t="shared" si="39"/>
        <v>42 Secretarial and related occupations</v>
      </c>
      <c r="BE20" s="68">
        <v>12.008317778681995</v>
      </c>
      <c r="BF20" s="68">
        <v>11.52105225723016</v>
      </c>
      <c r="BG20" s="68">
        <v>10.76769372617394</v>
      </c>
      <c r="BH20" s="68">
        <v>12.294170415338931</v>
      </c>
      <c r="BI20" s="68">
        <v>4.5640033433095741</v>
      </c>
      <c r="BJ20" s="68"/>
      <c r="BK20" s="68">
        <f t="shared" si="40"/>
        <v>-6.2036903828643659</v>
      </c>
      <c r="BL20" s="68">
        <f>'RD T1'!E193</f>
        <v>4.0252339688877612</v>
      </c>
      <c r="BM20" s="68">
        <f t="shared" si="41"/>
        <v>-2.1784564139766047</v>
      </c>
      <c r="BO20" t="str">
        <f t="shared" si="42"/>
        <v>42 Secretarial and related occupations</v>
      </c>
      <c r="BP20" s="68">
        <v>16.682780055209644</v>
      </c>
      <c r="BQ20" s="68">
        <v>14.021623606536204</v>
      </c>
      <c r="BR20" s="68">
        <v>11.95206013717636</v>
      </c>
      <c r="BS20" s="68">
        <v>9.3614352156918628</v>
      </c>
      <c r="BT20" s="68">
        <v>2.2555234138102409</v>
      </c>
      <c r="BU20" s="68"/>
      <c r="BV20" s="68">
        <f t="shared" si="43"/>
        <v>-9.696536723366119</v>
      </c>
      <c r="BW20" s="68">
        <f>'RD T1'!E222</f>
        <v>3.396480814794018</v>
      </c>
      <c r="BX20" s="68">
        <f t="shared" si="44"/>
        <v>-6.3000559085721015</v>
      </c>
      <c r="BZ20" t="str">
        <f t="shared" si="45"/>
        <v>42 Secretarial and related occupations</v>
      </c>
      <c r="CA20" s="68">
        <v>10.992153115964541</v>
      </c>
      <c r="CB20" s="68">
        <v>11.770148200016845</v>
      </c>
      <c r="CC20" s="68">
        <v>11.373289086129168</v>
      </c>
      <c r="CD20" s="68">
        <v>6.720349583873495</v>
      </c>
      <c r="CE20" s="68">
        <v>2.1630108799827004</v>
      </c>
      <c r="CF20" s="68"/>
      <c r="CG20" s="68">
        <f t="shared" si="46"/>
        <v>-9.2102782061464676</v>
      </c>
      <c r="CH20" s="68">
        <f>'RD T1'!E251</f>
        <v>2.1971560141988444</v>
      </c>
      <c r="CI20" s="68">
        <f t="shared" si="47"/>
        <v>-7.0131221919476232</v>
      </c>
      <c r="CK20" t="str">
        <f t="shared" si="48"/>
        <v>42 Secretarial and related occupations</v>
      </c>
      <c r="CL20" s="68">
        <v>2.0978185404042957</v>
      </c>
      <c r="CM20" s="68">
        <v>1.8649826401653704</v>
      </c>
      <c r="CN20" s="68">
        <v>1.9760183124115434</v>
      </c>
      <c r="CO20" s="68">
        <v>2.0502444784821314</v>
      </c>
      <c r="CP20" s="68">
        <v>0.67374220580195976</v>
      </c>
      <c r="CQ20" s="68"/>
      <c r="CR20" s="68">
        <f t="shared" si="49"/>
        <v>-1.3022761066095836</v>
      </c>
      <c r="CS20" s="68">
        <f>'RD T1'!E280</f>
        <v>0.62189072018479152</v>
      </c>
      <c r="CT20" s="68">
        <f t="shared" si="50"/>
        <v>-0.68038538642479207</v>
      </c>
    </row>
    <row r="21" spans="1:98" x14ac:dyDescent="0.2">
      <c r="A21" s="10" t="str">
        <f>name!D17</f>
        <v>51 Skilled agricultural and related trades</v>
      </c>
      <c r="B21" s="68">
        <v>8.4206318999644619E-2</v>
      </c>
      <c r="C21" s="68">
        <v>0.15362952180627443</v>
      </c>
      <c r="D21" s="68">
        <v>0.1324825405255842</v>
      </c>
      <c r="E21" s="68">
        <v>0.17694043010200436</v>
      </c>
      <c r="F21" s="68">
        <v>0.30771620426078583</v>
      </c>
      <c r="G21" s="11"/>
      <c r="H21" s="68">
        <f t="shared" si="51"/>
        <v>0.17523366373520163</v>
      </c>
      <c r="I21" s="68">
        <f>'RD T1'!E49</f>
        <v>0.16286739482771037</v>
      </c>
      <c r="J21" s="68">
        <f t="shared" si="26"/>
        <v>0.338101058562912</v>
      </c>
      <c r="L21" t="str">
        <f t="shared" si="27"/>
        <v>51 Skilled agricultural and related trades</v>
      </c>
      <c r="M21" s="68">
        <v>0.58183129467816419</v>
      </c>
      <c r="N21" s="68">
        <v>0.62791806245630188</v>
      </c>
      <c r="O21" s="68">
        <v>0.68539260661736134</v>
      </c>
      <c r="P21" s="68">
        <v>0.91243980384543266</v>
      </c>
      <c r="Q21" s="68">
        <v>1.4896946359637051</v>
      </c>
      <c r="R21" s="11"/>
      <c r="S21" s="68">
        <f t="shared" si="28"/>
        <v>0.80430202934634376</v>
      </c>
      <c r="T21" s="68">
        <f>'RD T1'!E78</f>
        <v>0.55467107042013009</v>
      </c>
      <c r="U21" s="68">
        <f t="shared" si="29"/>
        <v>1.358973099766474</v>
      </c>
      <c r="W21" t="str">
        <f t="shared" si="30"/>
        <v>51 Skilled agricultural and related trades</v>
      </c>
      <c r="X21" s="68">
        <v>4.8404176413248656</v>
      </c>
      <c r="Y21" s="68">
        <v>4.5642251049217872</v>
      </c>
      <c r="Z21" s="68">
        <v>5.5310699511760113</v>
      </c>
      <c r="AA21" s="68">
        <v>6.762116914096306</v>
      </c>
      <c r="AB21" s="68">
        <v>9.4117803292325721</v>
      </c>
      <c r="AC21" s="68"/>
      <c r="AD21" s="68">
        <f t="shared" si="31"/>
        <v>3.8807103780565608</v>
      </c>
      <c r="AE21" s="68">
        <f>'RD T1'!E107</f>
        <v>5.0741555059351064</v>
      </c>
      <c r="AF21" s="68">
        <f t="shared" si="32"/>
        <v>8.9548658839916673</v>
      </c>
      <c r="AH21" t="str">
        <f t="shared" si="33"/>
        <v>51 Skilled agricultural and related trades</v>
      </c>
      <c r="AI21" s="68">
        <v>2.2921955621529895</v>
      </c>
      <c r="AJ21" s="68">
        <v>2.3944008470950848</v>
      </c>
      <c r="AK21" s="68">
        <v>2.4619134941675234</v>
      </c>
      <c r="AL21" s="68">
        <v>3.1186509488746643</v>
      </c>
      <c r="AM21" s="68">
        <v>4.2319528182058379</v>
      </c>
      <c r="AN21" s="68"/>
      <c r="AO21" s="68">
        <f t="shared" si="34"/>
        <v>1.7700393240383145</v>
      </c>
      <c r="AP21" s="68">
        <f>'RD T1'!E136</f>
        <v>2.4276031408530265</v>
      </c>
      <c r="AQ21" s="68">
        <f t="shared" si="35"/>
        <v>4.1976424648913415</v>
      </c>
      <c r="AS21" t="str">
        <f t="shared" si="36"/>
        <v>51 Skilled agricultural and related trades</v>
      </c>
      <c r="AT21" s="68">
        <v>3.6341293856310291</v>
      </c>
      <c r="AU21" s="68">
        <v>3.5908805462339632</v>
      </c>
      <c r="AV21" s="68">
        <v>3.7514462321608986</v>
      </c>
      <c r="AW21" s="68">
        <v>4.4570018357330277</v>
      </c>
      <c r="AX21" s="68">
        <v>5.88030785701695</v>
      </c>
      <c r="AY21" s="68"/>
      <c r="AZ21" s="68">
        <f t="shared" si="37"/>
        <v>2.1288616248560515</v>
      </c>
      <c r="BA21" s="68">
        <f>'RD T1'!E165</f>
        <v>3.0759964770392587</v>
      </c>
      <c r="BB21" s="68">
        <f t="shared" si="38"/>
        <v>5.2048581018953097</v>
      </c>
      <c r="BD21" t="str">
        <f t="shared" si="39"/>
        <v>51 Skilled agricultural and related trades</v>
      </c>
      <c r="BE21" s="68">
        <v>7.4737777863106585</v>
      </c>
      <c r="BF21" s="68">
        <v>7.0115877276735779</v>
      </c>
      <c r="BG21" s="68">
        <v>7.1214146420539191</v>
      </c>
      <c r="BH21" s="68">
        <v>7.0954899087265524</v>
      </c>
      <c r="BI21" s="68">
        <v>7.6060019968797521</v>
      </c>
      <c r="BJ21" s="68"/>
      <c r="BK21" s="68">
        <f t="shared" si="40"/>
        <v>0.48458735482583304</v>
      </c>
      <c r="BL21" s="68">
        <f>'RD T1'!E194</f>
        <v>3.4266371944759277</v>
      </c>
      <c r="BM21" s="68">
        <f t="shared" si="41"/>
        <v>3.9112245493017608</v>
      </c>
      <c r="BO21" t="str">
        <f t="shared" si="42"/>
        <v>51 Skilled agricultural and related trades</v>
      </c>
      <c r="BP21" s="68">
        <v>10.327049646098054</v>
      </c>
      <c r="BQ21" s="68">
        <v>8.8958999487970019</v>
      </c>
      <c r="BR21" s="68">
        <v>9.2869649119970425</v>
      </c>
      <c r="BS21" s="68">
        <v>8.5198317101093526</v>
      </c>
      <c r="BT21" s="68">
        <v>8.1582378428842723</v>
      </c>
      <c r="BU21" s="68"/>
      <c r="BV21" s="68">
        <f t="shared" si="43"/>
        <v>-1.1287270691127702</v>
      </c>
      <c r="BW21" s="68">
        <f>'RD T1'!E223</f>
        <v>4.5526242328068491</v>
      </c>
      <c r="BX21" s="68">
        <f t="shared" si="44"/>
        <v>3.4238971636940789</v>
      </c>
      <c r="BZ21" t="str">
        <f t="shared" si="45"/>
        <v>51 Skilled agricultural and related trades</v>
      </c>
      <c r="CA21" s="68">
        <v>8.1899585240717236</v>
      </c>
      <c r="CB21" s="68">
        <v>8.9245064319289948</v>
      </c>
      <c r="CC21" s="68">
        <v>8.3633018948480196</v>
      </c>
      <c r="CD21" s="68">
        <v>7.898839219678508</v>
      </c>
      <c r="CE21" s="68">
        <v>8.5732634285393399</v>
      </c>
      <c r="CF21" s="68"/>
      <c r="CG21" s="68">
        <f t="shared" si="46"/>
        <v>0.20996153369132031</v>
      </c>
      <c r="CH21" s="68">
        <f>'RD T1'!E252</f>
        <v>3.2953321948669116</v>
      </c>
      <c r="CI21" s="68">
        <f t="shared" si="47"/>
        <v>3.505293728558232</v>
      </c>
      <c r="CK21" t="str">
        <f t="shared" si="48"/>
        <v>51 Skilled agricultural and related trades</v>
      </c>
      <c r="CL21" s="68">
        <v>3.6510486940377671</v>
      </c>
      <c r="CM21" s="68">
        <v>3.7734972172118537</v>
      </c>
      <c r="CN21" s="68">
        <v>6.0557778924557137</v>
      </c>
      <c r="CO21" s="68">
        <v>4.6958314331078883</v>
      </c>
      <c r="CP21" s="68">
        <v>1.8597746481736503</v>
      </c>
      <c r="CQ21" s="68"/>
      <c r="CR21" s="68">
        <f t="shared" si="49"/>
        <v>-4.1960032442820632</v>
      </c>
      <c r="CS21" s="68">
        <f>'RD T1'!E281</f>
        <v>1.3874039234868203</v>
      </c>
      <c r="CT21" s="68">
        <f t="shared" si="50"/>
        <v>-2.8085993207952429</v>
      </c>
    </row>
    <row r="22" spans="1:98" x14ac:dyDescent="0.2">
      <c r="A22" s="10" t="str">
        <f>name!D18</f>
        <v>52 Skilled metal, electrical and electronic trades</v>
      </c>
      <c r="B22" s="68">
        <v>8.6729314644596531E-2</v>
      </c>
      <c r="C22" s="68">
        <v>0.11390514423959636</v>
      </c>
      <c r="D22" s="68">
        <v>0.11266000774809805</v>
      </c>
      <c r="E22" s="68">
        <v>0.16107283388029409</v>
      </c>
      <c r="F22" s="68">
        <v>0.25002714668557546</v>
      </c>
      <c r="G22" s="11"/>
      <c r="H22" s="68">
        <f t="shared" si="51"/>
        <v>0.13736713893747743</v>
      </c>
      <c r="I22" s="68">
        <f>'RD T1'!E50</f>
        <v>7.4036193563164529E-2</v>
      </c>
      <c r="J22" s="68">
        <f t="shared" si="26"/>
        <v>0.21140333250064197</v>
      </c>
      <c r="L22" t="str">
        <f t="shared" si="27"/>
        <v>52 Skilled metal, electrical and electronic trades</v>
      </c>
      <c r="M22" s="68">
        <v>2.017403954883759</v>
      </c>
      <c r="N22" s="68">
        <v>2.5706925614855254</v>
      </c>
      <c r="O22" s="68">
        <v>2.0485063114091733</v>
      </c>
      <c r="P22" s="68">
        <v>3.6754192866065654</v>
      </c>
      <c r="Q22" s="68">
        <v>7.0558900527493105</v>
      </c>
      <c r="R22" s="11"/>
      <c r="S22" s="68">
        <f t="shared" si="28"/>
        <v>5.0073837413401368</v>
      </c>
      <c r="T22" s="68">
        <f>'RD T1'!E79</f>
        <v>2.3065481325025936</v>
      </c>
      <c r="U22" s="68">
        <f t="shared" si="29"/>
        <v>7.3139318738427299</v>
      </c>
      <c r="W22" t="str">
        <f t="shared" si="30"/>
        <v>52 Skilled metal, electrical and electronic trades</v>
      </c>
      <c r="X22" s="68">
        <v>5.9498240576672297</v>
      </c>
      <c r="Y22" s="68">
        <v>6.1167399339743707</v>
      </c>
      <c r="Z22" s="68">
        <v>5.1666668317259354</v>
      </c>
      <c r="AA22" s="68">
        <v>7.050253266275873</v>
      </c>
      <c r="AB22" s="68">
        <v>9.3145636134723215</v>
      </c>
      <c r="AC22" s="68"/>
      <c r="AD22" s="68">
        <f t="shared" si="31"/>
        <v>4.1478967817463861</v>
      </c>
      <c r="AE22" s="68">
        <f>'RD T1'!E108</f>
        <v>3.9848119822117232</v>
      </c>
      <c r="AF22" s="68">
        <f t="shared" si="32"/>
        <v>8.1327087639581102</v>
      </c>
      <c r="AH22" t="str">
        <f t="shared" si="33"/>
        <v>52 Skilled metal, electrical and electronic trades</v>
      </c>
      <c r="AI22" s="68">
        <v>2.2497986429403585</v>
      </c>
      <c r="AJ22" s="68">
        <v>2.1927406700155658</v>
      </c>
      <c r="AK22" s="68">
        <v>1.9661025808189201</v>
      </c>
      <c r="AL22" s="68">
        <v>2.3980222477496063</v>
      </c>
      <c r="AM22" s="68">
        <v>2.9201156086921261</v>
      </c>
      <c r="AN22" s="68"/>
      <c r="AO22" s="68">
        <f t="shared" si="34"/>
        <v>0.95401302787320597</v>
      </c>
      <c r="AP22" s="68">
        <f>'RD T1'!E137</f>
        <v>1.2032742550452693</v>
      </c>
      <c r="AQ22" s="68">
        <f t="shared" si="35"/>
        <v>2.1572872829184755</v>
      </c>
      <c r="AS22" t="str">
        <f t="shared" si="36"/>
        <v>52 Skilled metal, electrical and electronic trades</v>
      </c>
      <c r="AT22" s="68">
        <v>8.8189231960663719</v>
      </c>
      <c r="AU22" s="68">
        <v>8.5429470655724895</v>
      </c>
      <c r="AV22" s="68">
        <v>7.5718208099198874</v>
      </c>
      <c r="AW22" s="68">
        <v>8.8299772086635588</v>
      </c>
      <c r="AX22" s="68">
        <v>10.654533794883656</v>
      </c>
      <c r="AY22" s="68"/>
      <c r="AZ22" s="68">
        <f t="shared" si="37"/>
        <v>3.0827129849637691</v>
      </c>
      <c r="BA22" s="68">
        <f>'RD T1'!E166</f>
        <v>4.3774232332491545</v>
      </c>
      <c r="BB22" s="68">
        <f t="shared" si="38"/>
        <v>7.4601362182129236</v>
      </c>
      <c r="BD22" t="str">
        <f t="shared" si="39"/>
        <v>52 Skilled metal, electrical and electronic trades</v>
      </c>
      <c r="BE22" s="68">
        <v>54.027554222522411</v>
      </c>
      <c r="BF22" s="68">
        <v>53.124064504731571</v>
      </c>
      <c r="BG22" s="68">
        <v>47.005751977717495</v>
      </c>
      <c r="BH22" s="68">
        <v>47.153326101186018</v>
      </c>
      <c r="BI22" s="68">
        <v>47.490848667296021</v>
      </c>
      <c r="BJ22" s="68"/>
      <c r="BK22" s="68">
        <f t="shared" si="40"/>
        <v>0.48509668957852625</v>
      </c>
      <c r="BL22" s="68">
        <f>'RD T1'!E195</f>
        <v>16.008192297579885</v>
      </c>
      <c r="BM22" s="68">
        <f t="shared" si="41"/>
        <v>16.493288987158412</v>
      </c>
      <c r="BO22" t="str">
        <f t="shared" si="42"/>
        <v>52 Skilled metal, electrical and electronic trades</v>
      </c>
      <c r="BP22" s="68">
        <v>29.516351473536673</v>
      </c>
      <c r="BQ22" s="68">
        <v>25.545090240406594</v>
      </c>
      <c r="BR22" s="68">
        <v>24.781941869557713</v>
      </c>
      <c r="BS22" s="68">
        <v>20.976358576874002</v>
      </c>
      <c r="BT22" s="68">
        <v>15.712896380173625</v>
      </c>
      <c r="BU22" s="68"/>
      <c r="BV22" s="68">
        <f t="shared" si="43"/>
        <v>-9.0690454893840879</v>
      </c>
      <c r="BW22" s="68">
        <f>'RD T1'!E224</f>
        <v>7.7484057368243926</v>
      </c>
      <c r="BX22" s="68">
        <f t="shared" si="44"/>
        <v>-1.3206397525596953</v>
      </c>
      <c r="BZ22" t="str">
        <f t="shared" si="45"/>
        <v>52 Skilled metal, electrical and electronic trades</v>
      </c>
      <c r="CA22" s="68">
        <v>13.894118651751393</v>
      </c>
      <c r="CB22" s="68">
        <v>15.833309702803945</v>
      </c>
      <c r="CC22" s="68">
        <v>12.463072600673964</v>
      </c>
      <c r="CD22" s="68">
        <v>11.344916093950447</v>
      </c>
      <c r="CE22" s="68">
        <v>6.51171785376697</v>
      </c>
      <c r="CF22" s="68"/>
      <c r="CG22" s="68">
        <f t="shared" si="46"/>
        <v>-5.9513547469069943</v>
      </c>
      <c r="CH22" s="68">
        <f>'RD T1'!E253</f>
        <v>3.3826128294990148</v>
      </c>
      <c r="CI22" s="68">
        <f t="shared" si="47"/>
        <v>-2.5687419174079795</v>
      </c>
      <c r="CK22" t="str">
        <f t="shared" si="48"/>
        <v>52 Skilled metal, electrical and electronic trades</v>
      </c>
      <c r="CL22" s="68">
        <v>3.223722005773078</v>
      </c>
      <c r="CM22" s="68">
        <v>3.4792024287286796</v>
      </c>
      <c r="CN22" s="68">
        <v>4.2692551503128788</v>
      </c>
      <c r="CO22" s="68">
        <v>3.0012871255757485</v>
      </c>
      <c r="CP22" s="68">
        <v>1.4267907215522959</v>
      </c>
      <c r="CQ22" s="68"/>
      <c r="CR22" s="68">
        <f t="shared" si="49"/>
        <v>-2.8424644287605831</v>
      </c>
      <c r="CS22" s="68">
        <f>'RD T1'!E282</f>
        <v>0.8417566530210151</v>
      </c>
      <c r="CT22" s="68">
        <f t="shared" si="50"/>
        <v>-2.0007077757395679</v>
      </c>
    </row>
    <row r="23" spans="1:98" x14ac:dyDescent="0.2">
      <c r="A23" s="10" t="str">
        <f>name!D19</f>
        <v>53 Skilled construction and building trades</v>
      </c>
      <c r="B23" s="68">
        <v>6.0544203175915683E-2</v>
      </c>
      <c r="C23" s="68">
        <v>4.6478655281818319E-2</v>
      </c>
      <c r="D23" s="68">
        <v>3.0443821372094691E-2</v>
      </c>
      <c r="E23" s="68">
        <v>6.3827382844471925E-2</v>
      </c>
      <c r="F23" s="68">
        <v>8.1412905822832879E-2</v>
      </c>
      <c r="G23" s="11"/>
      <c r="H23" s="68">
        <f t="shared" si="51"/>
        <v>5.0969084450738188E-2</v>
      </c>
      <c r="I23" s="68">
        <f>'RD T1'!E51</f>
        <v>2.8054801027095809E-2</v>
      </c>
      <c r="J23" s="68">
        <f t="shared" si="26"/>
        <v>7.9023885477833997E-2</v>
      </c>
      <c r="L23" t="str">
        <f t="shared" si="27"/>
        <v>53 Skilled construction and building trades</v>
      </c>
      <c r="M23" s="68">
        <v>0.9839395425662939</v>
      </c>
      <c r="N23" s="68">
        <v>1.1868289325996313</v>
      </c>
      <c r="O23" s="68">
        <v>0.86789826763912326</v>
      </c>
      <c r="P23" s="68">
        <v>1.4982190468817969</v>
      </c>
      <c r="Q23" s="68">
        <v>2.2415099406685712</v>
      </c>
      <c r="R23" s="11"/>
      <c r="S23" s="68">
        <f t="shared" si="28"/>
        <v>1.3736116730294481</v>
      </c>
      <c r="T23" s="68">
        <f>'RD T1'!E80</f>
        <v>0.78568557882872259</v>
      </c>
      <c r="U23" s="68">
        <f t="shared" si="29"/>
        <v>2.1592972518581708</v>
      </c>
      <c r="W23" t="str">
        <f t="shared" si="30"/>
        <v>53 Skilled construction and building trades</v>
      </c>
      <c r="X23" s="68">
        <v>4.1036782783164867</v>
      </c>
      <c r="Y23" s="68">
        <v>3.8125524931907186</v>
      </c>
      <c r="Z23" s="68">
        <v>3.1101757185238696</v>
      </c>
      <c r="AA23" s="68">
        <v>4.4261463786128781</v>
      </c>
      <c r="AB23" s="68">
        <v>5.4123620625598257</v>
      </c>
      <c r="AC23" s="68"/>
      <c r="AD23" s="68">
        <f t="shared" si="31"/>
        <v>2.302186344035956</v>
      </c>
      <c r="AE23" s="68">
        <f>'RD T1'!E109</f>
        <v>2.4186748082539933</v>
      </c>
      <c r="AF23" s="68">
        <f t="shared" si="32"/>
        <v>4.7208611522899488</v>
      </c>
      <c r="AH23" t="str">
        <f t="shared" si="33"/>
        <v>53 Skilled construction and building trades</v>
      </c>
      <c r="AI23" s="68">
        <v>2.3293081640995172</v>
      </c>
      <c r="AJ23" s="68">
        <v>2.6230920301310703</v>
      </c>
      <c r="AK23" s="68">
        <v>2.0561148375141238</v>
      </c>
      <c r="AL23" s="68">
        <v>2.9353999995229612</v>
      </c>
      <c r="AM23" s="68">
        <v>3.6928018258186133</v>
      </c>
      <c r="AN23" s="68"/>
      <c r="AO23" s="68">
        <f t="shared" si="34"/>
        <v>1.6366869883044894</v>
      </c>
      <c r="AP23" s="68">
        <f>'RD T1'!E138</f>
        <v>1.7777080002647527</v>
      </c>
      <c r="AQ23" s="68">
        <f t="shared" si="35"/>
        <v>3.4143949885692422</v>
      </c>
      <c r="AS23" t="str">
        <f t="shared" si="36"/>
        <v>53 Skilled construction and building trades</v>
      </c>
      <c r="AT23" s="68">
        <v>3.7551750942506907</v>
      </c>
      <c r="AU23" s="68">
        <v>3.7751445110882749</v>
      </c>
      <c r="AV23" s="68">
        <v>3.077789892396583</v>
      </c>
      <c r="AW23" s="68">
        <v>4.491941814353166</v>
      </c>
      <c r="AX23" s="68">
        <v>5.4375363701429036</v>
      </c>
      <c r="AY23" s="68"/>
      <c r="AZ23" s="68">
        <f t="shared" si="37"/>
        <v>2.3597464777463206</v>
      </c>
      <c r="BA23" s="68">
        <f>'RD T1'!E167</f>
        <v>2.6737539702286108</v>
      </c>
      <c r="BB23" s="68">
        <f t="shared" si="38"/>
        <v>5.0335004479749319</v>
      </c>
      <c r="BD23" t="str">
        <f t="shared" si="39"/>
        <v>53 Skilled construction and building trades</v>
      </c>
      <c r="BE23" s="68">
        <v>44.063610020769126</v>
      </c>
      <c r="BF23" s="68">
        <v>43.801880831985684</v>
      </c>
      <c r="BG23" s="68">
        <v>33.713045365852196</v>
      </c>
      <c r="BH23" s="68">
        <v>37.399937620832986</v>
      </c>
      <c r="BI23" s="68">
        <v>37.292698600058721</v>
      </c>
      <c r="BJ23" s="68"/>
      <c r="BK23" s="68">
        <f t="shared" si="40"/>
        <v>3.5796532342065248</v>
      </c>
      <c r="BL23" s="68">
        <f>'RD T1'!E196</f>
        <v>13.703985625279065</v>
      </c>
      <c r="BM23" s="68">
        <f t="shared" si="41"/>
        <v>17.283638859485592</v>
      </c>
      <c r="BO23" t="str">
        <f t="shared" si="42"/>
        <v>53 Skilled construction and building trades</v>
      </c>
      <c r="BP23" s="68">
        <v>34.404348895068338</v>
      </c>
      <c r="BQ23" s="68">
        <v>33.982871693128331</v>
      </c>
      <c r="BR23" s="68">
        <v>29.489560777816436</v>
      </c>
      <c r="BS23" s="68">
        <v>31.61457756035092</v>
      </c>
      <c r="BT23" s="68">
        <v>30.891173834398547</v>
      </c>
      <c r="BU23" s="68"/>
      <c r="BV23" s="68">
        <f t="shared" si="43"/>
        <v>1.4016130565821108</v>
      </c>
      <c r="BW23" s="68">
        <f>'RD T1'!E225</f>
        <v>15.004844241096549</v>
      </c>
      <c r="BX23" s="68">
        <f t="shared" si="44"/>
        <v>16.40645729767866</v>
      </c>
      <c r="BZ23" t="str">
        <f t="shared" si="45"/>
        <v>53 Skilled construction and building trades</v>
      </c>
      <c r="CA23" s="68">
        <v>16.542265981502656</v>
      </c>
      <c r="CB23" s="68">
        <v>20.657081745594322</v>
      </c>
      <c r="CC23" s="68">
        <v>14.580282622846859</v>
      </c>
      <c r="CD23" s="68">
        <v>15.8871781532828</v>
      </c>
      <c r="CE23" s="68">
        <v>16.831688588494345</v>
      </c>
      <c r="CF23" s="68"/>
      <c r="CG23" s="68">
        <f t="shared" si="46"/>
        <v>2.2514059656474856</v>
      </c>
      <c r="CH23" s="68">
        <f>'RD T1'!E254</f>
        <v>5.8997114441521621</v>
      </c>
      <c r="CI23" s="68">
        <f t="shared" si="47"/>
        <v>8.1511174097996477</v>
      </c>
      <c r="CK23" t="str">
        <f t="shared" si="48"/>
        <v>53 Skilled construction and building trades</v>
      </c>
      <c r="CL23" s="68">
        <v>5.4636264667516556</v>
      </c>
      <c r="CM23" s="68">
        <v>6.0503205655721102</v>
      </c>
      <c r="CN23" s="68">
        <v>6.868761178237289</v>
      </c>
      <c r="CO23" s="68">
        <v>4.3770603215063293</v>
      </c>
      <c r="CP23" s="68">
        <v>1.4869700512122352</v>
      </c>
      <c r="CQ23" s="68"/>
      <c r="CR23" s="68">
        <f t="shared" si="49"/>
        <v>-5.3817911270250534</v>
      </c>
      <c r="CS23" s="68">
        <f>'RD T1'!E283</f>
        <v>1.1114609207313975</v>
      </c>
      <c r="CT23" s="68">
        <f t="shared" si="50"/>
        <v>-4.2703302062936555</v>
      </c>
    </row>
    <row r="24" spans="1:98" x14ac:dyDescent="0.2">
      <c r="A24" s="10" t="str">
        <f>name!D20</f>
        <v>54 Textiles, printing and other skilled trades</v>
      </c>
      <c r="B24" s="68">
        <v>0.21245151347577965</v>
      </c>
      <c r="C24" s="68">
        <v>0.25094209359551023</v>
      </c>
      <c r="D24" s="68">
        <v>0.21808075963690787</v>
      </c>
      <c r="E24" s="68">
        <v>0.3288082045649085</v>
      </c>
      <c r="F24" s="68">
        <v>0.53960086063514057</v>
      </c>
      <c r="G24" s="11"/>
      <c r="H24" s="68">
        <f t="shared" si="51"/>
        <v>0.32152010099823269</v>
      </c>
      <c r="I24" s="68">
        <f>'RD T1'!E52</f>
        <v>0.19344109129039036</v>
      </c>
      <c r="J24" s="68">
        <f t="shared" si="26"/>
        <v>0.51496119228862303</v>
      </c>
      <c r="L24" t="str">
        <f t="shared" si="27"/>
        <v>54 Textiles, printing and other skilled trades</v>
      </c>
      <c r="M24" s="68">
        <v>1.5839042412324831</v>
      </c>
      <c r="N24" s="68">
        <v>2.2267494451194723</v>
      </c>
      <c r="O24" s="68">
        <v>2.2448608159394361</v>
      </c>
      <c r="P24" s="68">
        <v>3.2974801003333458</v>
      </c>
      <c r="Q24" s="68">
        <v>5.3366287923616422</v>
      </c>
      <c r="R24" s="11"/>
      <c r="S24" s="68">
        <f t="shared" si="28"/>
        <v>3.0917679764222061</v>
      </c>
      <c r="T24" s="68">
        <f>'RD T1'!E81</f>
        <v>2.1899184023750489</v>
      </c>
      <c r="U24" s="68">
        <f t="shared" si="29"/>
        <v>5.2816863787972554</v>
      </c>
      <c r="W24" t="str">
        <f t="shared" si="30"/>
        <v>54 Textiles, printing and other skilled trades</v>
      </c>
      <c r="X24" s="68">
        <v>4.7329145172640645</v>
      </c>
      <c r="Y24" s="68">
        <v>4.6322454550319465</v>
      </c>
      <c r="Z24" s="68">
        <v>4.699482908549018</v>
      </c>
      <c r="AA24" s="68">
        <v>5.9847095993655612</v>
      </c>
      <c r="AB24" s="68">
        <v>6.9110982277143984</v>
      </c>
      <c r="AC24" s="68"/>
      <c r="AD24" s="68">
        <f t="shared" si="31"/>
        <v>2.2116153191653805</v>
      </c>
      <c r="AE24" s="68">
        <f>'RD T1'!E110</f>
        <v>3.615830735248958</v>
      </c>
      <c r="AF24" s="68">
        <f t="shared" si="32"/>
        <v>5.8274460544143381</v>
      </c>
      <c r="AH24" t="str">
        <f t="shared" si="33"/>
        <v>54 Textiles, printing and other skilled trades</v>
      </c>
      <c r="AI24" s="68">
        <v>2.1355583840731258</v>
      </c>
      <c r="AJ24" s="68">
        <v>1.8773812385671538</v>
      </c>
      <c r="AK24" s="68">
        <v>2.2353062882513814</v>
      </c>
      <c r="AL24" s="68">
        <v>2.6430037330435963</v>
      </c>
      <c r="AM24" s="68">
        <v>3.4105302518054743</v>
      </c>
      <c r="AN24" s="68"/>
      <c r="AO24" s="68">
        <f t="shared" si="34"/>
        <v>1.1752239635540929</v>
      </c>
      <c r="AP24" s="68">
        <f>'RD T1'!E139</f>
        <v>1.7837575027956174</v>
      </c>
      <c r="AQ24" s="68">
        <f t="shared" si="35"/>
        <v>2.9589814663497105</v>
      </c>
      <c r="AS24" t="str">
        <f t="shared" si="36"/>
        <v>54 Textiles, printing and other skilled trades</v>
      </c>
      <c r="AT24" s="68">
        <v>2.2770358527665042</v>
      </c>
      <c r="AU24" s="68">
        <v>2.0801514738444387</v>
      </c>
      <c r="AV24" s="68">
        <v>2.2682263635235076</v>
      </c>
      <c r="AW24" s="68">
        <v>2.8202607980278382</v>
      </c>
      <c r="AX24" s="68">
        <v>2.7524110312711083</v>
      </c>
      <c r="AY24" s="68"/>
      <c r="AZ24" s="68">
        <f t="shared" si="37"/>
        <v>0.48418466774760072</v>
      </c>
      <c r="BA24" s="68">
        <f>'RD T1'!E168</f>
        <v>1.664449665560886</v>
      </c>
      <c r="BB24" s="68">
        <f t="shared" si="38"/>
        <v>2.148634333308487</v>
      </c>
      <c r="BD24" t="str">
        <f t="shared" si="39"/>
        <v>54 Textiles, printing and other skilled trades</v>
      </c>
      <c r="BE24" s="68">
        <v>15.851587475148786</v>
      </c>
      <c r="BF24" s="68">
        <v>15.383523276462112</v>
      </c>
      <c r="BG24" s="68">
        <v>13.449442700687321</v>
      </c>
      <c r="BH24" s="68">
        <v>14.710785616478452</v>
      </c>
      <c r="BI24" s="68">
        <v>14.708035438688812</v>
      </c>
      <c r="BJ24" s="68"/>
      <c r="BK24" s="68">
        <f t="shared" si="40"/>
        <v>1.2585927380014912</v>
      </c>
      <c r="BL24" s="68">
        <f>'RD T1'!E197</f>
        <v>5.818485756302759</v>
      </c>
      <c r="BM24" s="68">
        <f t="shared" si="41"/>
        <v>7.0770784943042502</v>
      </c>
      <c r="BO24" t="str">
        <f t="shared" si="42"/>
        <v>54 Textiles, printing and other skilled trades</v>
      </c>
      <c r="BP24" s="68">
        <v>17.135965003860644</v>
      </c>
      <c r="BQ24" s="68">
        <v>14.328300171022056</v>
      </c>
      <c r="BR24" s="68">
        <v>14.332610694078696</v>
      </c>
      <c r="BS24" s="68">
        <v>12.713360871421672</v>
      </c>
      <c r="BT24" s="68">
        <v>10.784916930139817</v>
      </c>
      <c r="BU24" s="68"/>
      <c r="BV24" s="68">
        <f t="shared" si="43"/>
        <v>-3.547693763938879</v>
      </c>
      <c r="BW24" s="68">
        <f>'RD T1'!E226</f>
        <v>4.9690197512659156</v>
      </c>
      <c r="BX24" s="68">
        <f t="shared" si="44"/>
        <v>1.4213259873270365</v>
      </c>
      <c r="BZ24" t="str">
        <f t="shared" si="45"/>
        <v>54 Textiles, printing and other skilled trades</v>
      </c>
      <c r="CA24" s="68">
        <v>11.814586139204554</v>
      </c>
      <c r="CB24" s="68">
        <v>12.987349442584089</v>
      </c>
      <c r="CC24" s="68">
        <v>12.016419098663183</v>
      </c>
      <c r="CD24" s="68">
        <v>11.514331406985576</v>
      </c>
      <c r="CE24" s="68">
        <v>8.5839960275856662</v>
      </c>
      <c r="CF24" s="68"/>
      <c r="CG24" s="68">
        <f t="shared" si="46"/>
        <v>-3.4324230710775172</v>
      </c>
      <c r="CH24" s="68">
        <f>'RD T1'!E255</f>
        <v>3.7168285545542585</v>
      </c>
      <c r="CI24" s="68">
        <f t="shared" si="47"/>
        <v>0.28440548347674133</v>
      </c>
      <c r="CK24" t="str">
        <f t="shared" si="48"/>
        <v>54 Textiles, printing and other skilled trades</v>
      </c>
      <c r="CL24" s="68">
        <v>3.6340893855860319</v>
      </c>
      <c r="CM24" s="68">
        <v>3.2259908380741509</v>
      </c>
      <c r="CN24" s="68">
        <v>3.9791405161407041</v>
      </c>
      <c r="CO24" s="68">
        <v>2.245932472622429</v>
      </c>
      <c r="CP24" s="68">
        <v>1.2393597777794572</v>
      </c>
      <c r="CQ24" s="68"/>
      <c r="CR24" s="68">
        <f t="shared" si="49"/>
        <v>-2.7397807383612469</v>
      </c>
      <c r="CS24" s="68">
        <f>'RD T1'!E284</f>
        <v>0.68642231289252198</v>
      </c>
      <c r="CT24" s="68">
        <f t="shared" si="50"/>
        <v>-2.0533584254687249</v>
      </c>
    </row>
    <row r="25" spans="1:98" x14ac:dyDescent="0.2">
      <c r="A25" s="10" t="str">
        <f>name!D21</f>
        <v>61 Caring personal service occupations</v>
      </c>
      <c r="B25" s="68">
        <v>0.12765928821014241</v>
      </c>
      <c r="C25" s="68">
        <v>0.15007808029617353</v>
      </c>
      <c r="D25" s="68">
        <v>0.14307695265396403</v>
      </c>
      <c r="E25" s="68">
        <v>0.20797567670919057</v>
      </c>
      <c r="F25" s="68">
        <v>0.35718286052089476</v>
      </c>
      <c r="G25" s="11"/>
      <c r="H25" s="68">
        <f t="shared" si="51"/>
        <v>0.21410590786693073</v>
      </c>
      <c r="I25" s="68">
        <f>'RD T1'!E53</f>
        <v>0.14083357943309435</v>
      </c>
      <c r="J25" s="68">
        <f t="shared" si="26"/>
        <v>0.35493948730002511</v>
      </c>
      <c r="L25" t="str">
        <f t="shared" si="27"/>
        <v>61 Caring personal service occupations</v>
      </c>
      <c r="M25" s="68">
        <v>7.0230179895926428</v>
      </c>
      <c r="N25" s="68">
        <v>8.4682763788232904</v>
      </c>
      <c r="O25" s="68">
        <v>8.64233556624181</v>
      </c>
      <c r="P25" s="68">
        <v>12.359927425262255</v>
      </c>
      <c r="Q25" s="68">
        <v>20.847527864960472</v>
      </c>
      <c r="R25" s="11"/>
      <c r="S25" s="68">
        <f t="shared" si="28"/>
        <v>12.205192298718663</v>
      </c>
      <c r="T25" s="68">
        <f>'RD T1'!E82</f>
        <v>8.9002924665336849</v>
      </c>
      <c r="U25" s="68">
        <f t="shared" si="29"/>
        <v>21.105484765252349</v>
      </c>
      <c r="W25" t="str">
        <f t="shared" si="30"/>
        <v>61 Caring personal service occupations</v>
      </c>
      <c r="X25" s="68">
        <v>24.980551152036892</v>
      </c>
      <c r="Y25" s="68">
        <v>24.160582165603454</v>
      </c>
      <c r="Z25" s="68">
        <v>26.105337027792729</v>
      </c>
      <c r="AA25" s="68">
        <v>31.846536172692254</v>
      </c>
      <c r="AB25" s="68">
        <v>38.987142776509508</v>
      </c>
      <c r="AC25" s="68"/>
      <c r="AD25" s="68">
        <f t="shared" si="31"/>
        <v>12.881805748716779</v>
      </c>
      <c r="AE25" s="68">
        <f>'RD T1'!E111</f>
        <v>22.921442810042741</v>
      </c>
      <c r="AF25" s="68">
        <f t="shared" si="32"/>
        <v>35.80324855875952</v>
      </c>
      <c r="AH25" t="str">
        <f t="shared" si="33"/>
        <v>61 Caring personal service occupations</v>
      </c>
      <c r="AI25" s="68">
        <v>23.389218814712205</v>
      </c>
      <c r="AJ25" s="68">
        <v>19.691452148764572</v>
      </c>
      <c r="AK25" s="68">
        <v>21.209697456867353</v>
      </c>
      <c r="AL25" s="68">
        <v>23.22640192356296</v>
      </c>
      <c r="AM25" s="68">
        <v>24.711950190641932</v>
      </c>
      <c r="AN25" s="68"/>
      <c r="AO25" s="68">
        <f t="shared" si="34"/>
        <v>3.5022527337745792</v>
      </c>
      <c r="AP25" s="68">
        <f>'RD T1'!E140</f>
        <v>14.398321090148398</v>
      </c>
      <c r="AQ25" s="68">
        <f t="shared" si="35"/>
        <v>17.900573823922976</v>
      </c>
      <c r="AS25" t="str">
        <f t="shared" si="36"/>
        <v>61 Caring personal service occupations</v>
      </c>
      <c r="AT25" s="68">
        <v>12.658113018287176</v>
      </c>
      <c r="AU25" s="68">
        <v>11.706574776352095</v>
      </c>
      <c r="AV25" s="68">
        <v>13.107625299013602</v>
      </c>
      <c r="AW25" s="68">
        <v>14.826984780228178</v>
      </c>
      <c r="AX25" s="68">
        <v>16.802570816392592</v>
      </c>
      <c r="AY25" s="68"/>
      <c r="AZ25" s="68">
        <f t="shared" si="37"/>
        <v>3.69494551737899</v>
      </c>
      <c r="BA25" s="68">
        <f>'RD T1'!E169</f>
        <v>9.71766225058429</v>
      </c>
      <c r="BB25" s="68">
        <f t="shared" si="38"/>
        <v>13.41260776796328</v>
      </c>
      <c r="BD25" t="str">
        <f t="shared" si="39"/>
        <v>61 Caring personal service occupations</v>
      </c>
      <c r="BE25" s="68">
        <v>76.567673480133905</v>
      </c>
      <c r="BF25" s="68">
        <v>87.51893697737232</v>
      </c>
      <c r="BG25" s="68">
        <v>82.603220346705641</v>
      </c>
      <c r="BH25" s="68">
        <v>95.337788833459413</v>
      </c>
      <c r="BI25" s="68">
        <v>114.07386088936839</v>
      </c>
      <c r="BJ25" s="68"/>
      <c r="BK25" s="68">
        <f t="shared" si="40"/>
        <v>31.47064054266275</v>
      </c>
      <c r="BL25" s="68">
        <f>'RD T1'!E198</f>
        <v>53.966773649495238</v>
      </c>
      <c r="BM25" s="68">
        <f t="shared" si="41"/>
        <v>85.437414192157988</v>
      </c>
      <c r="BO25" t="str">
        <f t="shared" si="42"/>
        <v>61 Caring personal service occupations</v>
      </c>
      <c r="BP25" s="68">
        <v>64.885541110728568</v>
      </c>
      <c r="BQ25" s="68">
        <v>61.056565190732606</v>
      </c>
      <c r="BR25" s="68">
        <v>51.564967301638042</v>
      </c>
      <c r="BS25" s="68">
        <v>49.495488105177451</v>
      </c>
      <c r="BT25" s="68">
        <v>37.394917256309029</v>
      </c>
      <c r="BU25" s="68"/>
      <c r="BV25" s="68">
        <f t="shared" si="43"/>
        <v>-14.170050045329013</v>
      </c>
      <c r="BW25" s="68">
        <f>'RD T1'!E227</f>
        <v>23.30957229324903</v>
      </c>
      <c r="BX25" s="68">
        <f t="shared" si="44"/>
        <v>9.1395222479200164</v>
      </c>
      <c r="BZ25" t="str">
        <f t="shared" si="45"/>
        <v>61 Caring personal service occupations</v>
      </c>
      <c r="CA25" s="68">
        <v>14.998344103383591</v>
      </c>
      <c r="CB25" s="68">
        <v>9.7377200186406849</v>
      </c>
      <c r="CC25" s="68">
        <v>8.7433907459060851</v>
      </c>
      <c r="CD25" s="68">
        <v>6.3365466544394531</v>
      </c>
      <c r="CE25" s="68">
        <v>6.2421535073322501</v>
      </c>
      <c r="CF25" s="68"/>
      <c r="CG25" s="68">
        <f t="shared" si="46"/>
        <v>-2.5012372385738351</v>
      </c>
      <c r="CH25" s="68">
        <f>'RD T1'!E256</f>
        <v>1.9644534523897195</v>
      </c>
      <c r="CI25" s="68">
        <f t="shared" si="47"/>
        <v>-0.5367837861841156</v>
      </c>
      <c r="CK25" t="str">
        <f t="shared" si="48"/>
        <v>61 Caring personal service occupations</v>
      </c>
      <c r="CL25" s="68">
        <v>1.7196960610963152</v>
      </c>
      <c r="CM25" s="68">
        <v>1.3335338708879299</v>
      </c>
      <c r="CN25" s="68">
        <v>1.6303003104613485</v>
      </c>
      <c r="CO25" s="68">
        <v>1.7192301708306839</v>
      </c>
      <c r="CP25" s="68">
        <v>1.9532493222187948</v>
      </c>
      <c r="CQ25" s="68"/>
      <c r="CR25" s="68">
        <f t="shared" si="49"/>
        <v>0.32294901175744628</v>
      </c>
      <c r="CS25" s="68">
        <f>'RD T1'!E285</f>
        <v>0.60594793391668778</v>
      </c>
      <c r="CT25" s="68">
        <f t="shared" si="50"/>
        <v>0.92889694567413406</v>
      </c>
    </row>
    <row r="26" spans="1:98" x14ac:dyDescent="0.2">
      <c r="A26" s="10" t="str">
        <f>name!D22</f>
        <v>62 Leisure, travel and related personal service occupations</v>
      </c>
      <c r="B26" s="68">
        <v>6.6593423148985031E-2</v>
      </c>
      <c r="C26" s="68">
        <v>0.13996318929294538</v>
      </c>
      <c r="D26" s="68">
        <v>0.14467467952272042</v>
      </c>
      <c r="E26" s="68">
        <v>0.21143831297147828</v>
      </c>
      <c r="F26" s="68">
        <v>0.33941432566164792</v>
      </c>
      <c r="G26" s="11"/>
      <c r="H26" s="68">
        <f t="shared" si="51"/>
        <v>0.1947396461389275</v>
      </c>
      <c r="I26" s="68">
        <f>'RD T1'!E54</f>
        <v>0.14575591861541706</v>
      </c>
      <c r="J26" s="68">
        <f t="shared" si="26"/>
        <v>0.34049556475434456</v>
      </c>
      <c r="L26" t="str">
        <f t="shared" si="27"/>
        <v>62 Leisure, travel and related personal service occupations</v>
      </c>
      <c r="M26" s="68">
        <v>1.4001261359034762</v>
      </c>
      <c r="N26" s="68">
        <v>1.7266589644269519</v>
      </c>
      <c r="O26" s="68">
        <v>1.5520141444941518</v>
      </c>
      <c r="P26" s="68">
        <v>2.2912783174080582</v>
      </c>
      <c r="Q26" s="68">
        <v>4.0538413861201663</v>
      </c>
      <c r="R26" s="11"/>
      <c r="S26" s="68">
        <f t="shared" si="28"/>
        <v>2.5018272416260148</v>
      </c>
      <c r="T26" s="68">
        <f>'RD T1'!E83</f>
        <v>1.5643445568273711</v>
      </c>
      <c r="U26" s="68">
        <f t="shared" si="29"/>
        <v>4.0661717984533858</v>
      </c>
      <c r="W26" t="str">
        <f t="shared" si="30"/>
        <v>62 Leisure, travel and related personal service occupations</v>
      </c>
      <c r="X26" s="68">
        <v>5.6442811471116636</v>
      </c>
      <c r="Y26" s="68">
        <v>6.5104424216632166</v>
      </c>
      <c r="Z26" s="68">
        <v>6.2640532515437037</v>
      </c>
      <c r="AA26" s="68">
        <v>8.442573922915912</v>
      </c>
      <c r="AB26" s="68">
        <v>11.6022082031698</v>
      </c>
      <c r="AC26" s="68"/>
      <c r="AD26" s="68">
        <f t="shared" si="31"/>
        <v>5.3381549516260964</v>
      </c>
      <c r="AE26" s="68">
        <f>'RD T1'!E112</f>
        <v>5.9955149908973615</v>
      </c>
      <c r="AF26" s="68">
        <f t="shared" si="32"/>
        <v>11.333669942523457</v>
      </c>
      <c r="AH26" t="str">
        <f t="shared" si="33"/>
        <v>62 Leisure, travel and related personal service occupations</v>
      </c>
      <c r="AI26" s="68">
        <v>3.6718784403718194</v>
      </c>
      <c r="AJ26" s="68">
        <v>4.0938200229578285</v>
      </c>
      <c r="AK26" s="68">
        <v>4.0236131855596415</v>
      </c>
      <c r="AL26" s="68">
        <v>5.0791200099400555</v>
      </c>
      <c r="AM26" s="68">
        <v>7.0382639032261887</v>
      </c>
      <c r="AN26" s="68"/>
      <c r="AO26" s="68">
        <f t="shared" si="34"/>
        <v>3.0146507176665471</v>
      </c>
      <c r="AP26" s="68">
        <f>'RD T1'!E141</f>
        <v>3.7061422291470669</v>
      </c>
      <c r="AQ26" s="68">
        <f t="shared" si="35"/>
        <v>6.7207929468136136</v>
      </c>
      <c r="AS26" t="str">
        <f t="shared" si="36"/>
        <v>62 Leisure, travel and related personal service occupations</v>
      </c>
      <c r="AT26" s="68">
        <v>3.8943777789948135</v>
      </c>
      <c r="AU26" s="68">
        <v>4.7782354858745784</v>
      </c>
      <c r="AV26" s="68">
        <v>4.6915795596940768</v>
      </c>
      <c r="AW26" s="68">
        <v>6.0841934810877376</v>
      </c>
      <c r="AX26" s="68">
        <v>8.6673512510975748</v>
      </c>
      <c r="AY26" s="68"/>
      <c r="AZ26" s="68">
        <f t="shared" si="37"/>
        <v>3.975771691403498</v>
      </c>
      <c r="BA26" s="68">
        <f>'RD T1'!E170</f>
        <v>4.4670738091256679</v>
      </c>
      <c r="BB26" s="68">
        <f t="shared" si="38"/>
        <v>8.4428455005291667</v>
      </c>
      <c r="BD26" t="str">
        <f t="shared" si="39"/>
        <v>62 Leisure, travel and related personal service occupations</v>
      </c>
      <c r="BE26" s="68">
        <v>16.372482134501361</v>
      </c>
      <c r="BF26" s="68">
        <v>18.110520842523496</v>
      </c>
      <c r="BG26" s="68">
        <v>14.923156443814495</v>
      </c>
      <c r="BH26" s="68">
        <v>15.689883991422505</v>
      </c>
      <c r="BI26" s="68">
        <v>15.882330800807887</v>
      </c>
      <c r="BJ26" s="68"/>
      <c r="BK26" s="68">
        <f t="shared" si="40"/>
        <v>0.95917435699339215</v>
      </c>
      <c r="BL26" s="68">
        <f>'RD T1'!E199</f>
        <v>6.8201723242011001</v>
      </c>
      <c r="BM26" s="68">
        <f t="shared" si="41"/>
        <v>7.7793466811944922</v>
      </c>
      <c r="BO26" t="str">
        <f t="shared" si="42"/>
        <v>62 Leisure, travel and related personal service occupations</v>
      </c>
      <c r="BP26" s="68">
        <v>18.074586224373267</v>
      </c>
      <c r="BQ26" s="68">
        <v>18.419542605467029</v>
      </c>
      <c r="BR26" s="68">
        <v>15.125472124909484</v>
      </c>
      <c r="BS26" s="68">
        <v>14.17924121271397</v>
      </c>
      <c r="BT26" s="68">
        <v>11.31675408209391</v>
      </c>
      <c r="BU26" s="68"/>
      <c r="BV26" s="68">
        <f t="shared" si="43"/>
        <v>-3.808718042815574</v>
      </c>
      <c r="BW26" s="68">
        <f>'RD T1'!E228</f>
        <v>6.6117090879271316</v>
      </c>
      <c r="BX26" s="68">
        <f t="shared" si="44"/>
        <v>2.8029910451115576</v>
      </c>
      <c r="BZ26" t="str">
        <f t="shared" si="45"/>
        <v>62 Leisure, travel and related personal service occupations</v>
      </c>
      <c r="CA26" s="68">
        <v>9.5288425991579082</v>
      </c>
      <c r="CB26" s="68">
        <v>12.567424785755627</v>
      </c>
      <c r="CC26" s="68">
        <v>11.375271679361537</v>
      </c>
      <c r="CD26" s="68">
        <v>12.21785189601975</v>
      </c>
      <c r="CE26" s="68">
        <v>12.309258666427919</v>
      </c>
      <c r="CF26" s="68"/>
      <c r="CG26" s="68">
        <f t="shared" si="46"/>
        <v>0.9339869870663815</v>
      </c>
      <c r="CH26" s="68">
        <f>'RD T1'!E257</f>
        <v>4.8005641156532768</v>
      </c>
      <c r="CI26" s="68">
        <f t="shared" si="47"/>
        <v>5.7345511027196583</v>
      </c>
      <c r="CK26" t="str">
        <f t="shared" si="48"/>
        <v>62 Leisure, travel and related personal service occupations</v>
      </c>
      <c r="CL26" s="68">
        <v>2.7545741310228617</v>
      </c>
      <c r="CM26" s="68">
        <v>2.3605555157431355</v>
      </c>
      <c r="CN26" s="68">
        <v>2.638060696877635</v>
      </c>
      <c r="CO26" s="68">
        <v>1.947505030396945</v>
      </c>
      <c r="CP26" s="68">
        <v>1.3858833210205936</v>
      </c>
      <c r="CQ26" s="68"/>
      <c r="CR26" s="68">
        <f t="shared" si="49"/>
        <v>-1.2521773758570414</v>
      </c>
      <c r="CS26" s="68">
        <f>'RD T1'!E286</f>
        <v>0.64497746404718947</v>
      </c>
      <c r="CT26" s="68">
        <f t="shared" si="50"/>
        <v>-0.60719991180985189</v>
      </c>
    </row>
    <row r="27" spans="1:98" x14ac:dyDescent="0.2">
      <c r="A27" s="10" t="str">
        <f>name!D23</f>
        <v>63 Community and civil enforcement occupations</v>
      </c>
      <c r="B27" s="68">
        <v>4.5162644845059665E-3</v>
      </c>
      <c r="C27" s="68">
        <v>4.3877244707924926E-3</v>
      </c>
      <c r="D27" s="68">
        <v>4.9191502953850131E-3</v>
      </c>
      <c r="E27" s="68">
        <v>6.5196498407282776E-3</v>
      </c>
      <c r="F27" s="68">
        <v>1.0710531357843479E-2</v>
      </c>
      <c r="G27" s="11"/>
      <c r="H27" s="68">
        <f t="shared" si="51"/>
        <v>5.7913810624584663E-3</v>
      </c>
      <c r="I27" s="68">
        <f>'RD T1'!E55</f>
        <v>3.9370405023995952E-3</v>
      </c>
      <c r="J27" s="68">
        <f t="shared" si="26"/>
        <v>9.7284215648580606E-3</v>
      </c>
      <c r="L27" t="str">
        <f t="shared" si="27"/>
        <v>63 Community and civil enforcement occupations</v>
      </c>
      <c r="M27" s="68">
        <v>7.4887036901197662E-2</v>
      </c>
      <c r="N27" s="68">
        <v>7.2779830217916883E-2</v>
      </c>
      <c r="O27" s="68">
        <v>9.8008783883451231E-2</v>
      </c>
      <c r="P27" s="68">
        <v>0.10334183338924725</v>
      </c>
      <c r="Q27" s="68">
        <v>0.17143059614326678</v>
      </c>
      <c r="R27" s="11"/>
      <c r="S27" s="68">
        <f t="shared" si="28"/>
        <v>7.3421812259815547E-2</v>
      </c>
      <c r="T27" s="68">
        <f>'RD T1'!E84</f>
        <v>6.2640346111678097E-2</v>
      </c>
      <c r="U27" s="68">
        <f t="shared" si="29"/>
        <v>0.13606215837149366</v>
      </c>
      <c r="W27" t="str">
        <f t="shared" si="30"/>
        <v>63 Community and civil enforcement occupations</v>
      </c>
      <c r="X27" s="68">
        <v>0.32024473132778469</v>
      </c>
      <c r="Y27" s="68">
        <v>0.30663948276771419</v>
      </c>
      <c r="Z27" s="68">
        <v>0.35978988549557461</v>
      </c>
      <c r="AA27" s="68">
        <v>0.40019143476803254</v>
      </c>
      <c r="AB27" s="68">
        <v>0.47014143529556973</v>
      </c>
      <c r="AC27" s="68"/>
      <c r="AD27" s="68">
        <f t="shared" si="31"/>
        <v>0.11035154979999512</v>
      </c>
      <c r="AE27" s="68">
        <f>'RD T1'!E113</f>
        <v>0.27282566273492831</v>
      </c>
      <c r="AF27" s="68">
        <f t="shared" si="32"/>
        <v>0.38317721253492343</v>
      </c>
      <c r="AH27" t="str">
        <f t="shared" si="33"/>
        <v>63 Community and civil enforcement occupations</v>
      </c>
      <c r="AI27" s="68">
        <v>0.10069689925225907</v>
      </c>
      <c r="AJ27" s="68">
        <v>8.725497407191854E-2</v>
      </c>
      <c r="AK27" s="68">
        <v>0.12067613847199793</v>
      </c>
      <c r="AL27" s="68">
        <v>0.10904957219034381</v>
      </c>
      <c r="AM27" s="68">
        <v>0.12833867534741863</v>
      </c>
      <c r="AN27" s="68"/>
      <c r="AO27" s="68">
        <f t="shared" si="34"/>
        <v>7.6625368754207057E-3</v>
      </c>
      <c r="AP27" s="68">
        <f>'RD T1'!E142</f>
        <v>7.0010039247248676E-2</v>
      </c>
      <c r="AQ27" s="68">
        <f t="shared" si="35"/>
        <v>7.7672576122669382E-2</v>
      </c>
      <c r="AS27" t="str">
        <f t="shared" si="36"/>
        <v>63 Community and civil enforcement occupations</v>
      </c>
      <c r="AT27" s="68">
        <v>9.931325070859652E-2</v>
      </c>
      <c r="AU27" s="68">
        <v>8.0004252349661006E-2</v>
      </c>
      <c r="AV27" s="68">
        <v>0.11002619996101484</v>
      </c>
      <c r="AW27" s="68">
        <v>8.8379625019589264E-2</v>
      </c>
      <c r="AX27" s="68">
        <v>9.0895620373249553E-2</v>
      </c>
      <c r="AY27" s="68"/>
      <c r="AZ27" s="68">
        <f t="shared" si="37"/>
        <v>-1.913057958776529E-2</v>
      </c>
      <c r="BA27" s="68">
        <f>'RD T1'!E171</f>
        <v>5.4557324437778887E-2</v>
      </c>
      <c r="BB27" s="68">
        <f t="shared" si="38"/>
        <v>3.5426744850013597E-2</v>
      </c>
      <c r="BD27" t="str">
        <f t="shared" si="39"/>
        <v>63 Community and civil enforcement occupations</v>
      </c>
      <c r="BE27" s="68">
        <v>0.47582016843240615</v>
      </c>
      <c r="BF27" s="68">
        <v>0.31963758054058183</v>
      </c>
      <c r="BG27" s="68">
        <v>0.46399018753413701</v>
      </c>
      <c r="BH27" s="68">
        <v>0.29271866940541547</v>
      </c>
      <c r="BI27" s="68">
        <v>0.29618913645836387</v>
      </c>
      <c r="BJ27" s="68"/>
      <c r="BK27" s="68">
        <f t="shared" si="40"/>
        <v>-0.16780105107577314</v>
      </c>
      <c r="BL27" s="68">
        <f>'RD T1'!E200</f>
        <v>0.10703820976013097</v>
      </c>
      <c r="BM27" s="68">
        <f t="shared" si="41"/>
        <v>-6.0762841315642177E-2</v>
      </c>
      <c r="BO27" t="str">
        <f t="shared" si="42"/>
        <v>63 Community and civil enforcement occupations</v>
      </c>
      <c r="BP27" s="68">
        <v>0.63479469105317998</v>
      </c>
      <c r="BQ27" s="68">
        <v>0.474990866048705</v>
      </c>
      <c r="BR27" s="68">
        <v>0.67042170461611927</v>
      </c>
      <c r="BS27" s="68">
        <v>0.4448578762394792</v>
      </c>
      <c r="BT27" s="68">
        <v>0.38513823659655122</v>
      </c>
      <c r="BU27" s="68"/>
      <c r="BV27" s="68">
        <f t="shared" si="43"/>
        <v>-0.28528346801956805</v>
      </c>
      <c r="BW27" s="68">
        <f>'RD T1'!E229</f>
        <v>0.19470199020339765</v>
      </c>
      <c r="BX27" s="68">
        <f t="shared" si="44"/>
        <v>-9.0581477816170403E-2</v>
      </c>
      <c r="BZ27" t="str">
        <f t="shared" si="45"/>
        <v>63 Community and civil enforcement occupations</v>
      </c>
      <c r="CA27" s="68">
        <v>0.4935133390750604</v>
      </c>
      <c r="CB27" s="68">
        <v>0.48636971041444682</v>
      </c>
      <c r="CC27" s="68">
        <v>0.60461858331216967</v>
      </c>
      <c r="CD27" s="68">
        <v>0.47851440241107362</v>
      </c>
      <c r="CE27" s="68">
        <v>0.49048579394341946</v>
      </c>
      <c r="CF27" s="68"/>
      <c r="CG27" s="68">
        <f t="shared" si="46"/>
        <v>-0.11413278936875021</v>
      </c>
      <c r="CH27" s="68">
        <f>'RD T1'!E258</f>
        <v>0.17366682519069965</v>
      </c>
      <c r="CI27" s="68">
        <f t="shared" si="47"/>
        <v>5.9534035821949438E-2</v>
      </c>
      <c r="CK27" t="str">
        <f t="shared" si="48"/>
        <v>63 Community and civil enforcement occupations</v>
      </c>
      <c r="CL27" s="68">
        <v>0.10936444469091547</v>
      </c>
      <c r="CM27" s="68">
        <v>7.5819239812830397E-2</v>
      </c>
      <c r="CN27" s="68">
        <v>0.16503494613474909</v>
      </c>
      <c r="CO27" s="68">
        <v>7.0426958392809547E-2</v>
      </c>
      <c r="CP27" s="68">
        <v>5.8463356594444377E-2</v>
      </c>
      <c r="CQ27" s="68"/>
      <c r="CR27" s="68">
        <f t="shared" si="49"/>
        <v>-0.10657158954030471</v>
      </c>
      <c r="CS27" s="68">
        <f>'RD T1'!E287</f>
        <v>2.1051590848524683E-2</v>
      </c>
      <c r="CT27" s="68">
        <f t="shared" si="50"/>
        <v>-8.5519998691780036E-2</v>
      </c>
    </row>
    <row r="28" spans="1:98" x14ac:dyDescent="0.2">
      <c r="A28" s="10" t="str">
        <f>name!D24</f>
        <v>71 Sales occupations</v>
      </c>
      <c r="B28" s="68">
        <v>0.43943054347934463</v>
      </c>
      <c r="C28" s="68">
        <v>0.52116126842931298</v>
      </c>
      <c r="D28" s="68">
        <v>0.44411499533203957</v>
      </c>
      <c r="E28" s="68">
        <v>0.59309622113597971</v>
      </c>
      <c r="F28" s="68">
        <v>0.8686280264445605</v>
      </c>
      <c r="G28" s="11"/>
      <c r="H28" s="68">
        <f t="shared" si="51"/>
        <v>0.42451303111252092</v>
      </c>
      <c r="I28" s="68">
        <f>'RD T1'!E56</f>
        <v>0.29623748382737108</v>
      </c>
      <c r="J28" s="68">
        <f t="shared" si="26"/>
        <v>0.72075051493989206</v>
      </c>
      <c r="L28" t="str">
        <f t="shared" si="27"/>
        <v>71 Sales occupations</v>
      </c>
      <c r="M28" s="68">
        <v>6.0433381667711696</v>
      </c>
      <c r="N28" s="68">
        <v>6.9006971439155391</v>
      </c>
      <c r="O28" s="68">
        <v>6.8180648941250563</v>
      </c>
      <c r="P28" s="68">
        <v>9.2366232305669982</v>
      </c>
      <c r="Q28" s="68">
        <v>15.818852751611031</v>
      </c>
      <c r="R28" s="11"/>
      <c r="S28" s="68">
        <f t="shared" si="28"/>
        <v>9.0007878574859745</v>
      </c>
      <c r="T28" s="68">
        <f>'RD T1'!E85</f>
        <v>5.2875327355340884</v>
      </c>
      <c r="U28" s="68">
        <f t="shared" si="29"/>
        <v>14.288320593020064</v>
      </c>
      <c r="W28" t="str">
        <f t="shared" si="30"/>
        <v>71 Sales occupations</v>
      </c>
      <c r="X28" s="68">
        <v>24.595375995623577</v>
      </c>
      <c r="Y28" s="68">
        <v>23.346019097986495</v>
      </c>
      <c r="Z28" s="68">
        <v>25.287990193844276</v>
      </c>
      <c r="AA28" s="68">
        <v>28.692319320647584</v>
      </c>
      <c r="AB28" s="68">
        <v>35.974023992256008</v>
      </c>
      <c r="AC28" s="68"/>
      <c r="AD28" s="68">
        <f t="shared" si="31"/>
        <v>10.686033798411732</v>
      </c>
      <c r="AE28" s="68">
        <f>'RD T1'!E114</f>
        <v>17.811325787595983</v>
      </c>
      <c r="AF28" s="68">
        <f t="shared" si="32"/>
        <v>28.497359586007715</v>
      </c>
      <c r="AH28" t="str">
        <f t="shared" si="33"/>
        <v>71 Sales occupations</v>
      </c>
      <c r="AI28" s="68">
        <v>8.6521421399540888</v>
      </c>
      <c r="AJ28" s="68">
        <v>8.0147676747685068</v>
      </c>
      <c r="AK28" s="68">
        <v>9.0189490531101661</v>
      </c>
      <c r="AL28" s="68">
        <v>9.808349479174332</v>
      </c>
      <c r="AM28" s="68">
        <v>12.349613575182648</v>
      </c>
      <c r="AN28" s="68"/>
      <c r="AO28" s="68">
        <f t="shared" si="34"/>
        <v>3.3306645220724818</v>
      </c>
      <c r="AP28" s="68">
        <f>'RD T1'!E143</f>
        <v>6.2596290879904446</v>
      </c>
      <c r="AQ28" s="68">
        <f t="shared" si="35"/>
        <v>9.5902936100629255</v>
      </c>
      <c r="AS28" t="str">
        <f t="shared" si="36"/>
        <v>71 Sales occupations</v>
      </c>
      <c r="AT28" s="68">
        <v>7.2553216767179052</v>
      </c>
      <c r="AU28" s="68">
        <v>6.3915075392888303</v>
      </c>
      <c r="AV28" s="68">
        <v>6.831386372257513</v>
      </c>
      <c r="AW28" s="68">
        <v>7.1864563038650049</v>
      </c>
      <c r="AX28" s="68">
        <v>8.402381886420681</v>
      </c>
      <c r="AY28" s="68"/>
      <c r="AZ28" s="68">
        <f t="shared" si="37"/>
        <v>1.570995514163168</v>
      </c>
      <c r="BA28" s="68">
        <f>'RD T1'!E172</f>
        <v>3.875122329157993</v>
      </c>
      <c r="BB28" s="68">
        <f t="shared" si="38"/>
        <v>5.4461178433211614</v>
      </c>
      <c r="BD28" t="str">
        <f t="shared" si="39"/>
        <v>71 Sales occupations</v>
      </c>
      <c r="BE28" s="68">
        <v>58.380216702289502</v>
      </c>
      <c r="BF28" s="68">
        <v>57.610632919977547</v>
      </c>
      <c r="BG28" s="68">
        <v>57.267545962241584</v>
      </c>
      <c r="BH28" s="68">
        <v>56.654847587144204</v>
      </c>
      <c r="BI28" s="68">
        <v>61.112262617857532</v>
      </c>
      <c r="BJ28" s="68"/>
      <c r="BK28" s="68">
        <f t="shared" si="40"/>
        <v>3.8447166556159473</v>
      </c>
      <c r="BL28" s="68">
        <f>'RD T1'!E201</f>
        <v>25.346012839872046</v>
      </c>
      <c r="BM28" s="68">
        <f t="shared" si="41"/>
        <v>29.190729495487993</v>
      </c>
      <c r="BO28" t="str">
        <f t="shared" si="42"/>
        <v>71 Sales occupations</v>
      </c>
      <c r="BP28" s="68">
        <v>63.053918953893934</v>
      </c>
      <c r="BQ28" s="68">
        <v>54.681351633774973</v>
      </c>
      <c r="BR28" s="68">
        <v>51.399027447717486</v>
      </c>
      <c r="BS28" s="68">
        <v>43.849662306288778</v>
      </c>
      <c r="BT28" s="68">
        <v>33.508351667654928</v>
      </c>
      <c r="BU28" s="68"/>
      <c r="BV28" s="68">
        <f t="shared" si="43"/>
        <v>-17.890675780062558</v>
      </c>
      <c r="BW28" s="68">
        <f>'RD T1'!E230</f>
        <v>19.771966523648111</v>
      </c>
      <c r="BX28" s="68">
        <f t="shared" si="44"/>
        <v>1.8812907435855521</v>
      </c>
      <c r="BZ28" t="str">
        <f t="shared" si="45"/>
        <v>71 Sales occupations</v>
      </c>
      <c r="CA28" s="68">
        <v>35.188483626667022</v>
      </c>
      <c r="CB28" s="68">
        <v>39.100109384264663</v>
      </c>
      <c r="CC28" s="68">
        <v>37.874963105930128</v>
      </c>
      <c r="CD28" s="68">
        <v>31.136482227554435</v>
      </c>
      <c r="CE28" s="68">
        <v>11.134139018362561</v>
      </c>
      <c r="CF28" s="68"/>
      <c r="CG28" s="68">
        <f t="shared" si="46"/>
        <v>-26.740824087567567</v>
      </c>
      <c r="CH28" s="68">
        <f>'RD T1'!E259</f>
        <v>8.4932399535038083</v>
      </c>
      <c r="CI28" s="68">
        <f t="shared" si="47"/>
        <v>-18.247584134063757</v>
      </c>
      <c r="CK28" t="str">
        <f t="shared" si="48"/>
        <v>71 Sales occupations</v>
      </c>
      <c r="CL28" s="68">
        <v>11.731207380464715</v>
      </c>
      <c r="CM28" s="68">
        <v>9.109365978866462</v>
      </c>
      <c r="CN28" s="68">
        <v>10.774424360070633</v>
      </c>
      <c r="CO28" s="68">
        <v>6.3846286751206724</v>
      </c>
      <c r="CP28" s="68">
        <v>4.3328651296539373</v>
      </c>
      <c r="CQ28" s="68"/>
      <c r="CR28" s="68">
        <f t="shared" si="49"/>
        <v>-6.4415592304166953</v>
      </c>
      <c r="CS28" s="68">
        <f>'RD T1'!E288</f>
        <v>1.8397963356212297</v>
      </c>
      <c r="CT28" s="68">
        <f t="shared" si="50"/>
        <v>-4.6017628947954652</v>
      </c>
    </row>
    <row r="29" spans="1:98" x14ac:dyDescent="0.2">
      <c r="A29" s="10" t="str">
        <f>name!D25</f>
        <v>72 Customer service occupations</v>
      </c>
      <c r="B29" s="68">
        <v>0.1381214846147141</v>
      </c>
      <c r="C29" s="68">
        <v>0.17010364469249908</v>
      </c>
      <c r="D29" s="68">
        <v>0.18245189562159847</v>
      </c>
      <c r="E29" s="68">
        <v>0.33318218911544106</v>
      </c>
      <c r="F29" s="68">
        <v>0.57742224347134619</v>
      </c>
      <c r="G29" s="11"/>
      <c r="H29" s="68">
        <f>F29-D29</f>
        <v>0.39497034784974772</v>
      </c>
      <c r="I29" s="68">
        <f>'RD T1'!E57</f>
        <v>0.18448519802465524</v>
      </c>
      <c r="J29" s="68">
        <f t="shared" si="26"/>
        <v>0.57945554587440296</v>
      </c>
      <c r="L29" t="str">
        <f t="shared" si="27"/>
        <v>72 Customer service occupations</v>
      </c>
      <c r="M29" s="68">
        <v>1.4795658742620348</v>
      </c>
      <c r="N29" s="68">
        <v>1.8986125574328225</v>
      </c>
      <c r="O29" s="68">
        <v>2.0293653533429628</v>
      </c>
      <c r="P29" s="68">
        <v>3.5379363960518941</v>
      </c>
      <c r="Q29" s="68">
        <v>6.018983599321448</v>
      </c>
      <c r="R29" s="11"/>
      <c r="S29" s="68">
        <f t="shared" si="28"/>
        <v>3.9896182459784852</v>
      </c>
      <c r="T29" s="68">
        <f>'RD T1'!E86</f>
        <v>2.0089519803046705</v>
      </c>
      <c r="U29" s="68">
        <f t="shared" si="29"/>
        <v>5.9985702262831557</v>
      </c>
      <c r="W29" t="str">
        <f t="shared" si="30"/>
        <v>72 Customer service occupations</v>
      </c>
      <c r="X29" s="68">
        <v>6.8290857391664668</v>
      </c>
      <c r="Y29" s="68">
        <v>7.2850143064668336</v>
      </c>
      <c r="Z29" s="68">
        <v>8.282541147310889</v>
      </c>
      <c r="AA29" s="68">
        <v>12.115862021986548</v>
      </c>
      <c r="AB29" s="68">
        <v>16.344727571842007</v>
      </c>
      <c r="AC29" s="68"/>
      <c r="AD29" s="68">
        <f t="shared" si="31"/>
        <v>8.0621864245311183</v>
      </c>
      <c r="AE29" s="68">
        <f>'RD T1'!E115</f>
        <v>7.0593886234778616</v>
      </c>
      <c r="AF29" s="68">
        <f t="shared" si="32"/>
        <v>15.12157504800898</v>
      </c>
      <c r="AH29" t="str">
        <f t="shared" si="33"/>
        <v>72 Customer service occupations</v>
      </c>
      <c r="AI29" s="68">
        <v>2.0248676147941613</v>
      </c>
      <c r="AJ29" s="68">
        <v>2.1794298679774506</v>
      </c>
      <c r="AK29" s="68">
        <v>2.4922806931802599</v>
      </c>
      <c r="AL29" s="68">
        <v>3.6885571224084823</v>
      </c>
      <c r="AM29" s="68">
        <v>4.7859202190902206</v>
      </c>
      <c r="AN29" s="68"/>
      <c r="AO29" s="68">
        <f t="shared" si="34"/>
        <v>2.2936395259099607</v>
      </c>
      <c r="AP29" s="68">
        <f>'RD T1'!E144</f>
        <v>2.2341227100347076</v>
      </c>
      <c r="AQ29" s="68">
        <f t="shared" si="35"/>
        <v>4.5277622359446683</v>
      </c>
      <c r="AS29" t="str">
        <f t="shared" si="36"/>
        <v>72 Customer service occupations</v>
      </c>
      <c r="AT29" s="68">
        <v>2.62778412023482</v>
      </c>
      <c r="AU29" s="68">
        <v>2.5831304570252493</v>
      </c>
      <c r="AV29" s="68">
        <v>2.8056028838814364</v>
      </c>
      <c r="AW29" s="68">
        <v>3.9253986295713128</v>
      </c>
      <c r="AX29" s="68">
        <v>4.647761689288207</v>
      </c>
      <c r="AY29" s="68"/>
      <c r="AZ29" s="68">
        <f t="shared" si="37"/>
        <v>1.8421588054067706</v>
      </c>
      <c r="BA29" s="68">
        <f>'RD T1'!E173</f>
        <v>2.0706035614409255</v>
      </c>
      <c r="BB29" s="68">
        <f t="shared" si="38"/>
        <v>3.9127623668476961</v>
      </c>
      <c r="BD29" t="str">
        <f t="shared" si="39"/>
        <v>72 Customer service occupations</v>
      </c>
      <c r="BE29" s="68">
        <v>10.875687446196066</v>
      </c>
      <c r="BF29" s="68">
        <v>12.019058654595911</v>
      </c>
      <c r="BG29" s="68">
        <v>12.78631478585338</v>
      </c>
      <c r="BH29" s="68">
        <v>16.168150387703594</v>
      </c>
      <c r="BI29" s="68">
        <v>18.869574884958414</v>
      </c>
      <c r="BJ29" s="68"/>
      <c r="BK29" s="68">
        <f t="shared" si="40"/>
        <v>6.0832600991050345</v>
      </c>
      <c r="BL29" s="68">
        <f>'RD T1'!E202</f>
        <v>7.0700223082711</v>
      </c>
      <c r="BM29" s="68">
        <f t="shared" si="41"/>
        <v>13.153282407376135</v>
      </c>
      <c r="BO29" t="str">
        <f t="shared" si="42"/>
        <v>72 Customer service occupations</v>
      </c>
      <c r="BP29" s="68">
        <v>11.366275841508234</v>
      </c>
      <c r="BQ29" s="68">
        <v>12.364621173486187</v>
      </c>
      <c r="BR29" s="68">
        <v>11.736829741670455</v>
      </c>
      <c r="BS29" s="68">
        <v>13.8884251254049</v>
      </c>
      <c r="BT29" s="68">
        <v>12.43157482654075</v>
      </c>
      <c r="BU29" s="68"/>
      <c r="BV29" s="68">
        <f t="shared" si="43"/>
        <v>0.69474508487029496</v>
      </c>
      <c r="BW29" s="68">
        <f>'RD T1'!E231</f>
        <v>6.2194285000240903</v>
      </c>
      <c r="BX29" s="68">
        <f t="shared" si="44"/>
        <v>6.9141735848943853</v>
      </c>
      <c r="BZ29" t="str">
        <f t="shared" si="45"/>
        <v>72 Customer service occupations</v>
      </c>
      <c r="CA29" s="68">
        <v>5.01004237259093</v>
      </c>
      <c r="CB29" s="68">
        <v>5.8294655405114959</v>
      </c>
      <c r="CC29" s="68">
        <v>5.8339123484472513</v>
      </c>
      <c r="CD29" s="68">
        <v>5.9799233444735664</v>
      </c>
      <c r="CE29" s="68">
        <v>4.9222893691332272</v>
      </c>
      <c r="CF29" s="68"/>
      <c r="CG29" s="68">
        <f t="shared" si="46"/>
        <v>-0.91162297931402403</v>
      </c>
      <c r="CH29" s="68">
        <f>'RD T1'!E260</f>
        <v>1.6916566564255768</v>
      </c>
      <c r="CI29" s="68">
        <f t="shared" si="47"/>
        <v>0.7800336771115528</v>
      </c>
      <c r="CK29" t="str">
        <f t="shared" si="48"/>
        <v>72 Customer service occupations</v>
      </c>
      <c r="CL29" s="68">
        <v>1.1494480235935332</v>
      </c>
      <c r="CM29" s="68">
        <v>1.3008683036844595</v>
      </c>
      <c r="CN29" s="68">
        <v>1.5637841563036559</v>
      </c>
      <c r="CO29" s="68">
        <v>2.1606271580492544</v>
      </c>
      <c r="CP29" s="68">
        <v>2.3481721796675812</v>
      </c>
      <c r="CQ29" s="68"/>
      <c r="CR29" s="68">
        <f t="shared" si="49"/>
        <v>0.78438802336392532</v>
      </c>
      <c r="CS29" s="68">
        <f>'RD T1'!E289</f>
        <v>0.74505964010435299</v>
      </c>
      <c r="CT29" s="68">
        <f t="shared" si="50"/>
        <v>1.5294476634682783</v>
      </c>
    </row>
    <row r="30" spans="1:98" x14ac:dyDescent="0.2">
      <c r="A30" s="10" t="str">
        <f>name!D26</f>
        <v>81 Process, plant and machine operatives</v>
      </c>
      <c r="B30" s="68">
        <v>0.11785765259823247</v>
      </c>
      <c r="C30" s="68">
        <v>0.16134369819907868</v>
      </c>
      <c r="D30" s="68">
        <v>0.12292534402157536</v>
      </c>
      <c r="E30" s="68">
        <v>0.239753624716118</v>
      </c>
      <c r="F30" s="68">
        <v>0.55094510370317196</v>
      </c>
      <c r="G30" s="11"/>
      <c r="H30" s="68">
        <f t="shared" si="51"/>
        <v>0.42801975968159661</v>
      </c>
      <c r="I30" s="68">
        <f>'RD T1'!E58</f>
        <v>0.16729209857793409</v>
      </c>
      <c r="J30" s="68">
        <f t="shared" si="26"/>
        <v>0.5953118582595307</v>
      </c>
      <c r="L30" t="str">
        <f t="shared" si="27"/>
        <v>81 Process, plant and machine operatives</v>
      </c>
      <c r="M30" s="68">
        <v>0.92545207936169926</v>
      </c>
      <c r="N30" s="68">
        <v>1.1364946524096933</v>
      </c>
      <c r="O30" s="68">
        <v>0.97380592788862397</v>
      </c>
      <c r="P30" s="68">
        <v>1.8667912893216172</v>
      </c>
      <c r="Q30" s="68">
        <v>3.5251497196758557</v>
      </c>
      <c r="R30" s="11"/>
      <c r="S30" s="68">
        <f t="shared" si="28"/>
        <v>2.5513437917872315</v>
      </c>
      <c r="T30" s="68">
        <f>'RD T1'!E87</f>
        <v>1.062117779778232</v>
      </c>
      <c r="U30" s="68">
        <f t="shared" si="29"/>
        <v>3.6134615715654634</v>
      </c>
      <c r="W30" t="str">
        <f t="shared" si="30"/>
        <v>81 Process, plant and machine operatives</v>
      </c>
      <c r="X30" s="68">
        <v>2.8782918610964692</v>
      </c>
      <c r="Y30" s="68">
        <v>2.6417048755693036</v>
      </c>
      <c r="Z30" s="68">
        <v>2.4054012299721714</v>
      </c>
      <c r="AA30" s="68">
        <v>4.1871320558574157</v>
      </c>
      <c r="AB30" s="68">
        <v>7.1029827516008242</v>
      </c>
      <c r="AC30" s="68"/>
      <c r="AD30" s="68">
        <f t="shared" si="31"/>
        <v>4.6975815216286527</v>
      </c>
      <c r="AE30" s="68">
        <f>'RD T1'!E116</f>
        <v>2.5866701920307618</v>
      </c>
      <c r="AF30" s="68">
        <f t="shared" si="32"/>
        <v>7.2842517136594145</v>
      </c>
      <c r="AH30" t="str">
        <f t="shared" si="33"/>
        <v>81 Process, plant and machine operatives</v>
      </c>
      <c r="AI30" s="68">
        <v>1.1831906824914744</v>
      </c>
      <c r="AJ30" s="68">
        <v>1.1302472844190103</v>
      </c>
      <c r="AK30" s="68">
        <v>1.0387382000741596</v>
      </c>
      <c r="AL30" s="68">
        <v>1.7911356410221</v>
      </c>
      <c r="AM30" s="68">
        <v>3.0583362561280478</v>
      </c>
      <c r="AN30" s="68"/>
      <c r="AO30" s="68">
        <f t="shared" si="34"/>
        <v>2.019598056053888</v>
      </c>
      <c r="AP30" s="68">
        <f>'RD T1'!E145</f>
        <v>1.0324189033059825</v>
      </c>
      <c r="AQ30" s="68">
        <f t="shared" si="35"/>
        <v>3.0520169593598707</v>
      </c>
      <c r="AS30" t="str">
        <f t="shared" si="36"/>
        <v>81 Process, plant and machine operatives</v>
      </c>
      <c r="AT30" s="68">
        <v>2.792305597588252</v>
      </c>
      <c r="AU30" s="68">
        <v>2.5769200017127618</v>
      </c>
      <c r="AV30" s="68">
        <v>2.3220541501784528</v>
      </c>
      <c r="AW30" s="68">
        <v>3.659970860435112</v>
      </c>
      <c r="AX30" s="68">
        <v>5.1286799879119531</v>
      </c>
      <c r="AY30" s="68"/>
      <c r="AZ30" s="68">
        <f t="shared" si="37"/>
        <v>2.8066258377335003</v>
      </c>
      <c r="BA30" s="68">
        <f>'RD T1'!E174</f>
        <v>1.9358127266726464</v>
      </c>
      <c r="BB30" s="68">
        <f t="shared" si="38"/>
        <v>4.7424385644061466</v>
      </c>
      <c r="BD30" t="str">
        <f t="shared" si="39"/>
        <v>81 Process, plant and machine operatives</v>
      </c>
      <c r="BE30" s="68">
        <v>19.617157322791712</v>
      </c>
      <c r="BF30" s="68">
        <v>19.380995016235314</v>
      </c>
      <c r="BG30" s="68">
        <v>16.58380861586198</v>
      </c>
      <c r="BH30" s="68">
        <v>22.62751293557459</v>
      </c>
      <c r="BI30" s="68">
        <v>27.032077166354984</v>
      </c>
      <c r="BJ30" s="68"/>
      <c r="BK30" s="68">
        <f t="shared" si="40"/>
        <v>10.448268550493005</v>
      </c>
      <c r="BL30" s="68">
        <f>'RD T1'!E203</f>
        <v>8.2743084417172579</v>
      </c>
      <c r="BM30" s="68">
        <f t="shared" si="41"/>
        <v>18.722576992210264</v>
      </c>
      <c r="BO30" t="str">
        <f t="shared" si="42"/>
        <v>81 Process, plant and machine operatives</v>
      </c>
      <c r="BP30" s="68">
        <v>23.242180415600373</v>
      </c>
      <c r="BQ30" s="68">
        <v>20.466082007073869</v>
      </c>
      <c r="BR30" s="68">
        <v>18.684829232865479</v>
      </c>
      <c r="BS30" s="68">
        <v>22.36744223451916</v>
      </c>
      <c r="BT30" s="68">
        <v>20.844653397867862</v>
      </c>
      <c r="BU30" s="68"/>
      <c r="BV30" s="68">
        <f t="shared" si="43"/>
        <v>2.1598241650023837</v>
      </c>
      <c r="BW30" s="68">
        <f>'RD T1'!E232</f>
        <v>8.7428483457173662</v>
      </c>
      <c r="BX30" s="68">
        <f t="shared" si="44"/>
        <v>10.90267251071975</v>
      </c>
      <c r="BZ30" t="str">
        <f t="shared" si="45"/>
        <v>81 Process, plant and machine operatives</v>
      </c>
      <c r="CA30" s="68">
        <v>17.400881161059178</v>
      </c>
      <c r="CB30" s="68">
        <v>18.810161370111384</v>
      </c>
      <c r="CC30" s="68">
        <v>15.034959874432277</v>
      </c>
      <c r="CD30" s="68">
        <v>16.09475324022052</v>
      </c>
      <c r="CE30" s="68">
        <v>6.3767768550854527</v>
      </c>
      <c r="CF30" s="68"/>
      <c r="CG30" s="68">
        <f t="shared" si="46"/>
        <v>-8.6581830193468239</v>
      </c>
      <c r="CH30" s="68">
        <f>'RD T1'!E261</f>
        <v>4.0585682083100574</v>
      </c>
      <c r="CI30" s="68">
        <f t="shared" si="47"/>
        <v>-4.5996148110367665</v>
      </c>
      <c r="CK30" t="str">
        <f t="shared" si="48"/>
        <v>81 Process, plant and machine operatives</v>
      </c>
      <c r="CL30" s="68">
        <v>5.7228418126621419</v>
      </c>
      <c r="CM30" s="68">
        <v>4.7164421113334125</v>
      </c>
      <c r="CN30" s="68">
        <v>5.4155961803253421</v>
      </c>
      <c r="CO30" s="68">
        <v>2.9485458036618244</v>
      </c>
      <c r="CP30" s="68">
        <v>1.7458038345670328</v>
      </c>
      <c r="CQ30" s="68"/>
      <c r="CR30" s="68">
        <f t="shared" si="49"/>
        <v>-3.6697923457583093</v>
      </c>
      <c r="CS30" s="68">
        <f>'RD T1'!E290</f>
        <v>0.76082909144517641</v>
      </c>
      <c r="CT30" s="68">
        <f t="shared" si="50"/>
        <v>-2.9089632543131327</v>
      </c>
    </row>
    <row r="31" spans="1:98" x14ac:dyDescent="0.2">
      <c r="A31" s="10" t="str">
        <f>name!D27</f>
        <v>82 Transport and mobile machine drivers and operatives</v>
      </c>
      <c r="B31" s="68">
        <v>0.16985713930064789</v>
      </c>
      <c r="C31" s="68">
        <v>0.22291146629672065</v>
      </c>
      <c r="D31" s="68">
        <v>0.18687788550138937</v>
      </c>
      <c r="E31" s="68">
        <v>0.33749554426068223</v>
      </c>
      <c r="F31" s="68">
        <v>0.55897584672810308</v>
      </c>
      <c r="G31" s="11"/>
      <c r="H31" s="68">
        <f t="shared" si="51"/>
        <v>0.37209796122671368</v>
      </c>
      <c r="I31" s="68">
        <f>'RD T1'!E59</f>
        <v>0.23668900093819142</v>
      </c>
      <c r="J31" s="68">
        <f t="shared" si="26"/>
        <v>0.60878696216490513</v>
      </c>
      <c r="L31" t="str">
        <f t="shared" si="27"/>
        <v>82 Transport and mobile machine drivers and operatives</v>
      </c>
      <c r="M31" s="68">
        <v>1.289750532707421</v>
      </c>
      <c r="N31" s="68">
        <v>1.8308049972789304</v>
      </c>
      <c r="O31" s="68">
        <v>1.6105694169877729</v>
      </c>
      <c r="P31" s="68">
        <v>2.5237187663946359</v>
      </c>
      <c r="Q31" s="68">
        <v>4.1216997496295491</v>
      </c>
      <c r="R31" s="11"/>
      <c r="S31" s="68">
        <f t="shared" si="28"/>
        <v>2.511130332641776</v>
      </c>
      <c r="T31" s="68">
        <f>'RD T1'!E88</f>
        <v>1.7812542770727875</v>
      </c>
      <c r="U31" s="68">
        <f t="shared" si="29"/>
        <v>4.2923846097145635</v>
      </c>
      <c r="W31" t="str">
        <f t="shared" si="30"/>
        <v>82 Transport and mobile machine drivers and operatives</v>
      </c>
      <c r="X31" s="68">
        <v>3.8859884302982874</v>
      </c>
      <c r="Y31" s="68">
        <v>4.4137741740956056</v>
      </c>
      <c r="Z31" s="68">
        <v>4.1621785696618074</v>
      </c>
      <c r="AA31" s="68">
        <v>5.4624640631777437</v>
      </c>
      <c r="AB31" s="68">
        <v>7.5138492971404824</v>
      </c>
      <c r="AC31" s="68"/>
      <c r="AD31" s="68">
        <f t="shared" si="31"/>
        <v>3.351670727478675</v>
      </c>
      <c r="AE31" s="68">
        <f>'RD T1'!E117</f>
        <v>4.0571634146403976</v>
      </c>
      <c r="AF31" s="68">
        <f t="shared" si="32"/>
        <v>7.4088341421190727</v>
      </c>
      <c r="AH31" t="str">
        <f t="shared" si="33"/>
        <v>82 Transport and mobile machine drivers and operatives</v>
      </c>
      <c r="AI31" s="68">
        <v>1.6901483427623496</v>
      </c>
      <c r="AJ31" s="68">
        <v>2.0274749856087211</v>
      </c>
      <c r="AK31" s="68">
        <v>1.9548097982234314</v>
      </c>
      <c r="AL31" s="68">
        <v>2.6629489538164632</v>
      </c>
      <c r="AM31" s="68">
        <v>3.5092252753996953</v>
      </c>
      <c r="AN31" s="68"/>
      <c r="AO31" s="68">
        <f t="shared" si="34"/>
        <v>1.5544154771762639</v>
      </c>
      <c r="AP31" s="68">
        <f>'RD T1'!E146</f>
        <v>1.9552379496559205</v>
      </c>
      <c r="AQ31" s="68">
        <f t="shared" si="35"/>
        <v>3.5096534268321844</v>
      </c>
      <c r="AS31" t="str">
        <f t="shared" si="36"/>
        <v>82 Transport and mobile machine drivers and operatives</v>
      </c>
      <c r="AT31" s="68">
        <v>2.9947282077001796</v>
      </c>
      <c r="AU31" s="68">
        <v>3.1506179733849593</v>
      </c>
      <c r="AV31" s="68">
        <v>2.8054597625870832</v>
      </c>
      <c r="AW31" s="68">
        <v>3.8295176871934649</v>
      </c>
      <c r="AX31" s="68">
        <v>4.6985927200785698</v>
      </c>
      <c r="AY31" s="68"/>
      <c r="AZ31" s="68">
        <f t="shared" si="37"/>
        <v>1.8931329574914866</v>
      </c>
      <c r="BA31" s="68">
        <f>'RD T1'!E175</f>
        <v>2.7386529361208374</v>
      </c>
      <c r="BB31" s="68">
        <f t="shared" si="38"/>
        <v>4.6317858936123244</v>
      </c>
      <c r="BD31" t="str">
        <f t="shared" si="39"/>
        <v>82 Transport and mobile machine drivers and operatives</v>
      </c>
      <c r="BE31" s="68">
        <v>20.189024505548915</v>
      </c>
      <c r="BF31" s="68">
        <v>20.714513909460102</v>
      </c>
      <c r="BG31" s="68">
        <v>17.851821933247567</v>
      </c>
      <c r="BH31" s="68">
        <v>21.191661838094003</v>
      </c>
      <c r="BI31" s="68">
        <v>24.451714756388604</v>
      </c>
      <c r="BJ31" s="68"/>
      <c r="BK31" s="68">
        <f t="shared" si="40"/>
        <v>6.5998928231410368</v>
      </c>
      <c r="BL31" s="68">
        <f>'RD T1'!E204</f>
        <v>10.913722334213929</v>
      </c>
      <c r="BM31" s="68">
        <f t="shared" si="41"/>
        <v>17.513615157354966</v>
      </c>
      <c r="BO31" t="str">
        <f t="shared" si="42"/>
        <v>82 Transport and mobile machine drivers and operatives</v>
      </c>
      <c r="BP31" s="68">
        <v>27.192132767917371</v>
      </c>
      <c r="BQ31" s="68">
        <v>26.193023334446398</v>
      </c>
      <c r="BR31" s="68">
        <v>24.668566540490769</v>
      </c>
      <c r="BS31" s="68">
        <v>25.77863919789193</v>
      </c>
      <c r="BT31" s="68">
        <v>24.90765110712811</v>
      </c>
      <c r="BU31" s="68"/>
      <c r="BV31" s="68">
        <f t="shared" si="43"/>
        <v>0.23908456663734157</v>
      </c>
      <c r="BW31" s="68">
        <f>'RD T1'!E233</f>
        <v>14.668474156214049</v>
      </c>
      <c r="BX31" s="68">
        <f t="shared" si="44"/>
        <v>14.907558722851391</v>
      </c>
      <c r="BZ31" t="str">
        <f t="shared" si="45"/>
        <v>82 Transport and mobile machine drivers and operatives</v>
      </c>
      <c r="CA31" s="68">
        <v>22.323387852633637</v>
      </c>
      <c r="CB31" s="68">
        <v>25.97830881952191</v>
      </c>
      <c r="CC31" s="68">
        <v>19.768443475801615</v>
      </c>
      <c r="CD31" s="68">
        <v>19.091317634322834</v>
      </c>
      <c r="CE31" s="68">
        <v>15.943535526067706</v>
      </c>
      <c r="CF31" s="68"/>
      <c r="CG31" s="68">
        <f t="shared" si="46"/>
        <v>-3.8249079497339089</v>
      </c>
      <c r="CH31" s="68">
        <f>'RD T1'!E262</f>
        <v>7.6775649936323243</v>
      </c>
      <c r="CI31" s="68">
        <f t="shared" si="47"/>
        <v>3.8526570438984153</v>
      </c>
      <c r="CK31" t="str">
        <f t="shared" si="48"/>
        <v>82 Transport and mobile machine drivers and operatives</v>
      </c>
      <c r="CL31" s="68">
        <v>5.8843160708261477</v>
      </c>
      <c r="CM31" s="68">
        <v>6.7995792458776396</v>
      </c>
      <c r="CN31" s="68">
        <v>9.1449158708958826</v>
      </c>
      <c r="CO31" s="68">
        <v>6.9799260546150066</v>
      </c>
      <c r="CP31" s="68">
        <v>4.4351257106263029</v>
      </c>
      <c r="CQ31" s="68"/>
      <c r="CR31" s="68">
        <f t="shared" si="49"/>
        <v>-4.7097901602695798</v>
      </c>
      <c r="CS31" s="68">
        <f>'RD T1'!E291</f>
        <v>2.697711719031489</v>
      </c>
      <c r="CT31" s="68">
        <f t="shared" si="50"/>
        <v>-2.0120784412380908</v>
      </c>
    </row>
    <row r="32" spans="1:98" x14ac:dyDescent="0.2">
      <c r="A32" s="10" t="str">
        <f>name!D28</f>
        <v>91 Elementary trades and related occupations</v>
      </c>
      <c r="B32" s="68">
        <v>2.2882105329335789E-3</v>
      </c>
      <c r="C32" s="68">
        <v>2.1923210649145656E-3</v>
      </c>
      <c r="D32" s="68">
        <v>1.720546421118019E-3</v>
      </c>
      <c r="E32" s="68">
        <v>2.1945795098098977E-3</v>
      </c>
      <c r="F32" s="68">
        <v>3.3438566921853482E-3</v>
      </c>
      <c r="G32" s="11"/>
      <c r="H32" s="68">
        <f t="shared" si="51"/>
        <v>1.6233102710673292E-3</v>
      </c>
      <c r="I32" s="68">
        <f>'RD T1'!E60</f>
        <v>1.3475983993017232E-3</v>
      </c>
      <c r="J32" s="68">
        <f t="shared" si="26"/>
        <v>2.9709086703690523E-3</v>
      </c>
      <c r="L32" t="str">
        <f t="shared" si="27"/>
        <v>91 Elementary trades and related occupations</v>
      </c>
      <c r="M32" s="68">
        <v>0.75270942048817369</v>
      </c>
      <c r="N32" s="68">
        <v>0.93045264153596263</v>
      </c>
      <c r="O32" s="68">
        <v>0.7206088360825198</v>
      </c>
      <c r="P32" s="68">
        <v>1.0763648158171708</v>
      </c>
      <c r="Q32" s="68">
        <v>1.7136107549673969</v>
      </c>
      <c r="R32" s="11"/>
      <c r="S32" s="68">
        <f t="shared" si="28"/>
        <v>0.9930019188848771</v>
      </c>
      <c r="T32" s="68">
        <f>'RD T1'!E89</f>
        <v>0.53529585522310708</v>
      </c>
      <c r="U32" s="68">
        <f t="shared" si="29"/>
        <v>1.5282977741079842</v>
      </c>
      <c r="W32" t="str">
        <f t="shared" si="30"/>
        <v>91 Elementary trades and related occupations</v>
      </c>
      <c r="X32" s="68">
        <v>2.5074844071342772</v>
      </c>
      <c r="Y32" s="68">
        <v>2.2145636911918989</v>
      </c>
      <c r="Z32" s="68">
        <v>2.0953348485392773</v>
      </c>
      <c r="AA32" s="68">
        <v>2.3394415113246829</v>
      </c>
      <c r="AB32" s="68">
        <v>2.6125236989930132</v>
      </c>
      <c r="AC32" s="68"/>
      <c r="AD32" s="68">
        <f t="shared" si="31"/>
        <v>0.51718885045373586</v>
      </c>
      <c r="AE32" s="68">
        <f>'RD T1'!E118</f>
        <v>1.3583678539688984</v>
      </c>
      <c r="AF32" s="68">
        <f t="shared" si="32"/>
        <v>1.8755567044226342</v>
      </c>
      <c r="AH32" t="str">
        <f t="shared" si="33"/>
        <v>91 Elementary trades and related occupations</v>
      </c>
      <c r="AI32" s="68">
        <v>1.6297116397603835</v>
      </c>
      <c r="AJ32" s="68">
        <v>1.5063783553281755</v>
      </c>
      <c r="AK32" s="68">
        <v>1.3410515894011621</v>
      </c>
      <c r="AL32" s="68">
        <v>1.4849262529622889</v>
      </c>
      <c r="AM32" s="68">
        <v>1.8096801582529818</v>
      </c>
      <c r="AN32" s="68"/>
      <c r="AO32" s="68">
        <f t="shared" si="34"/>
        <v>0.46862856885181969</v>
      </c>
      <c r="AP32" s="68">
        <f>'RD T1'!E147</f>
        <v>0.86884135819444808</v>
      </c>
      <c r="AQ32" s="68">
        <f t="shared" si="35"/>
        <v>1.3374699270462678</v>
      </c>
      <c r="AS32" t="str">
        <f t="shared" si="36"/>
        <v>91 Elementary trades and related occupations</v>
      </c>
      <c r="AT32" s="68">
        <v>1.847517709594106</v>
      </c>
      <c r="AU32" s="68">
        <v>1.6299579545262872</v>
      </c>
      <c r="AV32" s="68">
        <v>1.5980700232440241</v>
      </c>
      <c r="AW32" s="68">
        <v>1.7551313741814436</v>
      </c>
      <c r="AX32" s="68">
        <v>1.9703866590846852</v>
      </c>
      <c r="AY32" s="68"/>
      <c r="AZ32" s="68">
        <f t="shared" si="37"/>
        <v>0.3723166358406611</v>
      </c>
      <c r="BA32" s="68">
        <f>'RD T1'!E176</f>
        <v>0.8646557045472516</v>
      </c>
      <c r="BB32" s="68">
        <f t="shared" si="38"/>
        <v>1.2369723403879127</v>
      </c>
      <c r="BD32" t="str">
        <f t="shared" si="39"/>
        <v>91 Elementary trades and related occupations</v>
      </c>
      <c r="BE32" s="68">
        <v>9.795091703282381</v>
      </c>
      <c r="BF32" s="68">
        <v>8.6236633259907212</v>
      </c>
      <c r="BG32" s="68">
        <v>7.7076000425256597</v>
      </c>
      <c r="BH32" s="68">
        <v>7.7962479058757896</v>
      </c>
      <c r="BI32" s="68">
        <v>9.0661651203378515</v>
      </c>
      <c r="BJ32" s="68"/>
      <c r="BK32" s="68">
        <f t="shared" si="40"/>
        <v>1.3585650778121918</v>
      </c>
      <c r="BL32" s="68">
        <f>'RD T1'!E205</f>
        <v>2.9587896789157768</v>
      </c>
      <c r="BM32" s="68">
        <f t="shared" si="41"/>
        <v>4.3173547567279691</v>
      </c>
      <c r="BO32" t="str">
        <f t="shared" si="42"/>
        <v>91 Elementary trades and related occupations</v>
      </c>
      <c r="BP32" s="68">
        <v>14.506581838345216</v>
      </c>
      <c r="BQ32" s="68">
        <v>10.777397473702614</v>
      </c>
      <c r="BR32" s="68">
        <v>9.9814619038649539</v>
      </c>
      <c r="BS32" s="68">
        <v>8.1173970326103806</v>
      </c>
      <c r="BT32" s="68">
        <v>7.0078540989212366</v>
      </c>
      <c r="BU32" s="68"/>
      <c r="BV32" s="68">
        <f t="shared" si="43"/>
        <v>-2.9736078049437173</v>
      </c>
      <c r="BW32" s="68">
        <f>'RD T1'!E234</f>
        <v>3.2534586413961213</v>
      </c>
      <c r="BX32" s="68">
        <f t="shared" si="44"/>
        <v>0.27985083645240394</v>
      </c>
      <c r="BZ32" t="str">
        <f t="shared" si="45"/>
        <v>91 Elementary trades and related occupations</v>
      </c>
      <c r="CA32" s="68">
        <v>14.991737898331198</v>
      </c>
      <c r="CB32" s="68">
        <v>15.067758514259662</v>
      </c>
      <c r="CC32" s="68">
        <v>11.877575250830571</v>
      </c>
      <c r="CD32" s="68">
        <v>9.2999682033238891</v>
      </c>
      <c r="CE32" s="68">
        <v>7.4418694428892529</v>
      </c>
      <c r="CF32" s="68"/>
      <c r="CG32" s="68">
        <f t="shared" si="46"/>
        <v>-4.4357058079413179</v>
      </c>
      <c r="CH32" s="68">
        <f>'RD T1'!E263</f>
        <v>3.0677069826105408</v>
      </c>
      <c r="CI32" s="68">
        <f t="shared" si="47"/>
        <v>-1.3679988253307771</v>
      </c>
      <c r="CK32" t="str">
        <f t="shared" si="48"/>
        <v>91 Elementary trades and related occupations</v>
      </c>
      <c r="CL32" s="68">
        <v>5.586296758993023</v>
      </c>
      <c r="CM32" s="68">
        <v>5.035212968067122</v>
      </c>
      <c r="CN32" s="68">
        <v>5.8462927561012847</v>
      </c>
      <c r="CO32" s="68">
        <v>4.6132910590766523</v>
      </c>
      <c r="CP32" s="68">
        <v>4.6367267404814223</v>
      </c>
      <c r="CQ32" s="68"/>
      <c r="CR32" s="68">
        <f t="shared" si="49"/>
        <v>-1.2095660156198624</v>
      </c>
      <c r="CS32" s="68">
        <f>'RD T1'!E292</f>
        <v>1.4815983995675874</v>
      </c>
      <c r="CT32" s="68">
        <f t="shared" si="50"/>
        <v>0.272032383947725</v>
      </c>
    </row>
    <row r="33" spans="1:98" x14ac:dyDescent="0.2">
      <c r="A33" s="10" t="str">
        <f>name!D29</f>
        <v>92 Elementary administration and service occupations</v>
      </c>
      <c r="B33" s="68">
        <v>0.17328561496273853</v>
      </c>
      <c r="C33" s="68">
        <v>0.200009572862718</v>
      </c>
      <c r="D33" s="68">
        <v>0.17595983537684168</v>
      </c>
      <c r="E33" s="68">
        <v>0.2888406733145048</v>
      </c>
      <c r="F33" s="68">
        <v>0.42834000120504367</v>
      </c>
      <c r="G33" s="11"/>
      <c r="H33" s="68">
        <f t="shared" ref="H33" si="52">F33-D33</f>
        <v>0.252380165828202</v>
      </c>
      <c r="I33" s="68">
        <f>'RD T1'!E61</f>
        <v>0.17203292972088513</v>
      </c>
      <c r="J33" s="68">
        <f>SUM(H33:I33)</f>
        <v>0.42441309554908713</v>
      </c>
      <c r="L33" t="str">
        <f t="shared" ref="L33" si="53">A33</f>
        <v>92 Elementary administration and service occupations</v>
      </c>
      <c r="M33" s="68">
        <v>4.8922329822748329</v>
      </c>
      <c r="N33" s="68">
        <v>6.3890997449848923</v>
      </c>
      <c r="O33" s="68">
        <v>6.3499737298212722</v>
      </c>
      <c r="P33" s="68">
        <v>10.543086998289859</v>
      </c>
      <c r="Q33" s="68">
        <v>18.972809231222179</v>
      </c>
      <c r="R33" s="11"/>
      <c r="S33" s="68">
        <f t="shared" ref="S33" si="54">Q33-O33</f>
        <v>12.622835501400907</v>
      </c>
      <c r="T33" s="68">
        <f>'RD T1'!E90</f>
        <v>7.0785097085146829</v>
      </c>
      <c r="U33" s="68">
        <f t="shared" ref="U33" si="55">SUM(S33:T33)</f>
        <v>19.701345209915591</v>
      </c>
      <c r="W33" t="str">
        <f t="shared" ref="W33" si="56">A33</f>
        <v>92 Elementary administration and service occupations</v>
      </c>
      <c r="X33" s="68">
        <v>18.048047304481099</v>
      </c>
      <c r="Y33" s="68">
        <v>19.40174415175106</v>
      </c>
      <c r="Z33" s="68">
        <v>20.647866284682429</v>
      </c>
      <c r="AA33" s="68">
        <v>27.423185642424691</v>
      </c>
      <c r="AB33" s="68">
        <v>35.90695281863956</v>
      </c>
      <c r="AC33" s="68"/>
      <c r="AD33" s="68">
        <f t="shared" ref="AD33" si="57">AB33-Z33</f>
        <v>15.259086533957131</v>
      </c>
      <c r="AE33" s="68">
        <f>'RD T1'!E119</f>
        <v>19.438097019854951</v>
      </c>
      <c r="AF33" s="68">
        <f t="shared" ref="AF33" si="58">SUM(AD33:AE33)</f>
        <v>34.697183553812081</v>
      </c>
      <c r="AH33" t="str">
        <f t="shared" ref="AH33" si="59">L33</f>
        <v>92 Elementary administration and service occupations</v>
      </c>
      <c r="AI33" s="68">
        <v>8.7481583732275539</v>
      </c>
      <c r="AJ33" s="68">
        <v>9.1518370278872574</v>
      </c>
      <c r="AK33" s="68">
        <v>9.7634387282904438</v>
      </c>
      <c r="AL33" s="68">
        <v>12.82196338462351</v>
      </c>
      <c r="AM33" s="68">
        <v>17.018182175464517</v>
      </c>
      <c r="AN33" s="68"/>
      <c r="AO33" s="68">
        <f t="shared" ref="AO33" si="60">AM33-AK33</f>
        <v>7.2547434471740733</v>
      </c>
      <c r="AP33" s="68">
        <f>'RD T1'!E148</f>
        <v>8.6029558310614203</v>
      </c>
      <c r="AQ33" s="68">
        <f t="shared" ref="AQ33" si="61">SUM(AO33:AP33)</f>
        <v>15.857699278235494</v>
      </c>
      <c r="AS33" t="str">
        <f t="shared" ref="AS33" si="62">W33</f>
        <v>92 Elementary administration and service occupations</v>
      </c>
      <c r="AT33" s="68">
        <v>7.775386910857975</v>
      </c>
      <c r="AU33" s="68">
        <v>7.9657116981862002</v>
      </c>
      <c r="AV33" s="68">
        <v>8.9477121619563267</v>
      </c>
      <c r="AW33" s="68">
        <v>11.378701828048445</v>
      </c>
      <c r="AX33" s="68">
        <v>15.030053563656427</v>
      </c>
      <c r="AY33" s="68"/>
      <c r="AZ33" s="68">
        <f t="shared" ref="AZ33" si="63">AX33-AV33</f>
        <v>6.0823414017001003</v>
      </c>
      <c r="BA33" s="68">
        <f>'RD T1'!E177</f>
        <v>7.5002058783294023</v>
      </c>
      <c r="BB33" s="68">
        <f t="shared" ref="BB33" si="64">SUM(AZ33:BA33)</f>
        <v>13.582547280029502</v>
      </c>
      <c r="BD33" t="str">
        <f t="shared" ref="BD33" si="65">AH33</f>
        <v>92 Elementary administration and service occupations</v>
      </c>
      <c r="BE33" s="68">
        <v>54.907051181566786</v>
      </c>
      <c r="BF33" s="68">
        <v>54.919232080022141</v>
      </c>
      <c r="BG33" s="68">
        <v>50.118329807174973</v>
      </c>
      <c r="BH33" s="68">
        <v>52.612136516234287</v>
      </c>
      <c r="BI33" s="68">
        <v>52.053404867048812</v>
      </c>
      <c r="BJ33" s="68"/>
      <c r="BK33" s="68">
        <f t="shared" ref="BK33" si="66">BI33-BG33</f>
        <v>1.9350750598738387</v>
      </c>
      <c r="BL33" s="68">
        <f>'RD T1'!E206</f>
        <v>24.207690366822874</v>
      </c>
      <c r="BM33" s="68">
        <f t="shared" ref="BM33" si="67">SUM(BK33:BL33)</f>
        <v>26.142765426696712</v>
      </c>
      <c r="BO33" t="str">
        <f t="shared" ref="BO33" si="68">AS33</f>
        <v>92 Elementary administration and service occupations</v>
      </c>
      <c r="BP33" s="68">
        <v>85.020725285519845</v>
      </c>
      <c r="BQ33" s="68">
        <v>81.811844946693554</v>
      </c>
      <c r="BR33" s="68">
        <v>73.969081185066997</v>
      </c>
      <c r="BS33" s="68">
        <v>74.587295002796949</v>
      </c>
      <c r="BT33" s="68">
        <v>61.996422867378847</v>
      </c>
      <c r="BU33" s="68"/>
      <c r="BV33" s="68">
        <f t="shared" ref="BV33" si="69">BT33-BR33</f>
        <v>-11.97265831768815</v>
      </c>
      <c r="BW33" s="68">
        <f>'RD T1'!E235</f>
        <v>34.951744148526316</v>
      </c>
      <c r="BX33" s="68">
        <f t="shared" ref="BX33" si="70">SUM(BV33:BW33)</f>
        <v>22.979085830838166</v>
      </c>
      <c r="BZ33" t="str">
        <f t="shared" ref="BZ33" si="71">BD33</f>
        <v>92 Elementary administration and service occupations</v>
      </c>
      <c r="CA33" s="68">
        <v>65.371021391918291</v>
      </c>
      <c r="CB33" s="68">
        <v>75.049323542080487</v>
      </c>
      <c r="CC33" s="68">
        <v>66.539274878523642</v>
      </c>
      <c r="CD33" s="68">
        <v>67.453840233403</v>
      </c>
      <c r="CE33" s="68">
        <v>49.489198287786223</v>
      </c>
      <c r="CF33" s="68"/>
      <c r="CG33" s="68">
        <f t="shared" ref="CG33" si="72">CE33-CC33</f>
        <v>-17.050076590737419</v>
      </c>
      <c r="CH33" s="68">
        <f>'RD T1'!E264</f>
        <v>22.000777808229699</v>
      </c>
      <c r="CI33" s="68">
        <f t="shared" ref="CI33" si="73">SUM(CG33:CH33)</f>
        <v>4.9507012174922806</v>
      </c>
      <c r="CK33" t="str">
        <f t="shared" ref="CK33" si="74">BO33</f>
        <v>92 Elementary administration and service occupations</v>
      </c>
      <c r="CL33" s="68">
        <v>22.972297324117427</v>
      </c>
      <c r="CM33" s="68">
        <v>17.146106850942669</v>
      </c>
      <c r="CN33" s="68">
        <v>18.615703007130563</v>
      </c>
      <c r="CO33" s="68">
        <v>13.29824165029893</v>
      </c>
      <c r="CP33" s="68">
        <v>12.700050717984348</v>
      </c>
      <c r="CQ33" s="68"/>
      <c r="CR33" s="68">
        <f t="shared" ref="CR33" si="75">CP33-CN33</f>
        <v>-5.9156522891462142</v>
      </c>
      <c r="CS33" s="68">
        <f>'RD T1'!E293</f>
        <v>4.106196748331242</v>
      </c>
      <c r="CT33" s="68">
        <f t="shared" ref="CT33" si="76">SUM(CR33:CS33)</f>
        <v>-1.8094555408149722</v>
      </c>
    </row>
    <row r="34" spans="1:98" x14ac:dyDescent="0.2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2">
      <c r="A35" s="231" t="str">
        <f>name!D3</f>
        <v>All occupations</v>
      </c>
      <c r="B35" s="66">
        <f>SUM(B8:B33)</f>
        <v>36.756242917957145</v>
      </c>
      <c r="C35" s="66">
        <f t="shared" ref="C35:F35" si="77">SUM(C8:C33)</f>
        <v>48.026875781215416</v>
      </c>
      <c r="D35" s="66">
        <f t="shared" si="77"/>
        <v>47.134788614307183</v>
      </c>
      <c r="E35" s="66">
        <f t="shared" si="77"/>
        <v>62.055867743673261</v>
      </c>
      <c r="F35" s="66">
        <f t="shared" si="77"/>
        <v>91.885931833206854</v>
      </c>
      <c r="G35" s="11"/>
      <c r="H35" s="66">
        <f>F35-D35</f>
        <v>44.751143218899671</v>
      </c>
      <c r="I35" s="66">
        <f>SUM(I8:I33)</f>
        <v>33.341146704427551</v>
      </c>
      <c r="J35" s="66">
        <f>SUM(H35:I35)</f>
        <v>78.092289923327229</v>
      </c>
      <c r="L35" s="23" t="str">
        <f>A35</f>
        <v>All occupations</v>
      </c>
      <c r="M35" s="66">
        <f>SUM(M8:M33)</f>
        <v>244.7995911935304</v>
      </c>
      <c r="N35" s="66">
        <f t="shared" ref="N35:Q35" si="78">SUM(N8:N33)</f>
        <v>322.05086189838079</v>
      </c>
      <c r="O35" s="66">
        <f t="shared" si="78"/>
        <v>327.95542549331321</v>
      </c>
      <c r="P35" s="66">
        <f t="shared" si="78"/>
        <v>428.57213033934636</v>
      </c>
      <c r="Q35" s="66">
        <f t="shared" si="78"/>
        <v>636.98770723168127</v>
      </c>
      <c r="R35" s="11"/>
      <c r="S35" s="66">
        <f>Q35-O35</f>
        <v>309.03228173836806</v>
      </c>
      <c r="T35" s="66">
        <f>SUM(T8:T33)</f>
        <v>245.02143460132532</v>
      </c>
      <c r="U35" s="66">
        <f>SUM(S35:T35)</f>
        <v>554.05371633969344</v>
      </c>
      <c r="W35" s="23" t="str">
        <f>A35</f>
        <v>All occupations</v>
      </c>
      <c r="X35" s="66">
        <f>SUM(X8:X33)</f>
        <v>522.05844291683741</v>
      </c>
      <c r="Y35" s="66">
        <f t="shared" ref="Y35:AB35" si="79">SUM(Y8:Y33)</f>
        <v>542.26972022748498</v>
      </c>
      <c r="Z35" s="66">
        <f t="shared" si="79"/>
        <v>569.67034480156747</v>
      </c>
      <c r="AA35" s="66">
        <f t="shared" si="79"/>
        <v>640.12110870664765</v>
      </c>
      <c r="AB35" s="66">
        <f t="shared" si="79"/>
        <v>728.25370570101961</v>
      </c>
      <c r="AC35" s="11"/>
      <c r="AD35" s="66">
        <f>AB35-Z35</f>
        <v>158.58336089945215</v>
      </c>
      <c r="AE35" s="66">
        <f>SUM(AE8:AE33)</f>
        <v>374.70873643401058</v>
      </c>
      <c r="AF35" s="66">
        <f>SUM(AD35:AE35)</f>
        <v>533.29209733346272</v>
      </c>
      <c r="AH35" s="23" t="str">
        <f>L35</f>
        <v>All occupations</v>
      </c>
      <c r="AI35" s="66">
        <f>SUM(AI8:AI33)</f>
        <v>166.10502830185266</v>
      </c>
      <c r="AJ35" s="66">
        <f t="shared" ref="AJ35:AM35" si="80">SUM(AJ8:AJ33)</f>
        <v>151.32540199834605</v>
      </c>
      <c r="AK35" s="66">
        <f t="shared" si="80"/>
        <v>159.48966179180383</v>
      </c>
      <c r="AL35" s="66">
        <f t="shared" si="80"/>
        <v>167.91953768433743</v>
      </c>
      <c r="AM35" s="66">
        <f t="shared" si="80"/>
        <v>186.36959050016765</v>
      </c>
      <c r="AN35" s="11"/>
      <c r="AO35" s="66">
        <f>AM35-AK35</f>
        <v>26.879928708363821</v>
      </c>
      <c r="AP35" s="66">
        <f>SUM(AP8:AP33)</f>
        <v>96.418385037870394</v>
      </c>
      <c r="AQ35" s="66">
        <f>SUM(AO35:AP35)</f>
        <v>123.29831374623421</v>
      </c>
      <c r="AS35" s="23" t="str">
        <f>W35</f>
        <v>All occupations</v>
      </c>
      <c r="AT35" s="66">
        <f>SUM(AT8:AT33)</f>
        <v>151.81590298912096</v>
      </c>
      <c r="AU35" s="66">
        <f t="shared" ref="AU35:AX35" si="81">SUM(AU8:AU33)</f>
        <v>152.21409209239553</v>
      </c>
      <c r="AV35" s="66">
        <f t="shared" si="81"/>
        <v>159.86246551235263</v>
      </c>
      <c r="AW35" s="66">
        <f t="shared" si="81"/>
        <v>176.33950915990241</v>
      </c>
      <c r="AX35" s="66">
        <f t="shared" si="81"/>
        <v>200.54900732775167</v>
      </c>
      <c r="AY35" s="11"/>
      <c r="AZ35" s="66">
        <f>AX35-AV35</f>
        <v>40.686541815399039</v>
      </c>
      <c r="BA35" s="66">
        <f>SUM(BA8:BA33)</f>
        <v>99.264863708462016</v>
      </c>
      <c r="BB35" s="66">
        <f>SUM(AZ35:BA35)</f>
        <v>139.95140552386107</v>
      </c>
      <c r="BD35" s="23" t="str">
        <f>AH35</f>
        <v>All occupations</v>
      </c>
      <c r="BE35" s="66">
        <f>SUM(BE8:BE33)</f>
        <v>635.25333858653187</v>
      </c>
      <c r="BF35" s="66">
        <f t="shared" ref="BF35:BI35" si="82">SUM(BF8:BF33)</f>
        <v>672.2714357842417</v>
      </c>
      <c r="BG35" s="66">
        <f t="shared" si="82"/>
        <v>641.26058900496469</v>
      </c>
      <c r="BH35" s="66">
        <f t="shared" si="82"/>
        <v>664.25216643697968</v>
      </c>
      <c r="BI35" s="66">
        <f t="shared" si="82"/>
        <v>693.86284553455812</v>
      </c>
      <c r="BJ35" s="11"/>
      <c r="BK35" s="66">
        <f>BI35-BG35</f>
        <v>52.602256529593433</v>
      </c>
      <c r="BL35" s="66">
        <f>SUM(BL8:BL33)</f>
        <v>290.03219116366944</v>
      </c>
      <c r="BM35" s="66">
        <f>SUM(BK35:BL35)</f>
        <v>342.63444769326287</v>
      </c>
      <c r="BO35" s="23" t="str">
        <f>AS35</f>
        <v>All occupations</v>
      </c>
      <c r="BP35" s="66">
        <f>SUM(BP8:BP33)</f>
        <v>617.45326690283355</v>
      </c>
      <c r="BQ35" s="66">
        <f t="shared" ref="BQ35:BT35" si="83">SUM(BQ8:BQ33)</f>
        <v>584.65545940073957</v>
      </c>
      <c r="BR35" s="66">
        <f t="shared" si="83"/>
        <v>554.22503662659847</v>
      </c>
      <c r="BS35" s="66">
        <f t="shared" si="83"/>
        <v>509.20118907411455</v>
      </c>
      <c r="BT35" s="66">
        <f t="shared" si="83"/>
        <v>403.81458697048612</v>
      </c>
      <c r="BU35" s="11"/>
      <c r="BV35" s="66">
        <f>BT35-BR35</f>
        <v>-150.41044965611235</v>
      </c>
      <c r="BW35" s="66">
        <f>SUM(BW8:BW33)</f>
        <v>225.61592572863447</v>
      </c>
      <c r="BX35" s="66">
        <f>SUM(BV35:BW35)</f>
        <v>75.205476072522117</v>
      </c>
      <c r="BZ35" s="23" t="str">
        <f>BD35</f>
        <v>All occupations</v>
      </c>
      <c r="CA35" s="66">
        <f>SUM(CA8:CA33)</f>
        <v>350.507152073003</v>
      </c>
      <c r="CB35" s="66">
        <f t="shared" ref="CB35:CE35" si="84">SUM(CB8:CB33)</f>
        <v>404.26982468985261</v>
      </c>
      <c r="CC35" s="66">
        <f t="shared" si="84"/>
        <v>366.97985469794827</v>
      </c>
      <c r="CD35" s="66">
        <f t="shared" si="84"/>
        <v>333.26478368455054</v>
      </c>
      <c r="CE35" s="66">
        <f t="shared" si="84"/>
        <v>240.34462131676833</v>
      </c>
      <c r="CF35" s="11"/>
      <c r="CG35" s="66">
        <f>CE35-CC35</f>
        <v>-126.63523338117994</v>
      </c>
      <c r="CH35" s="66">
        <f>SUM(CH8:CH33)</f>
        <v>109.6660893956258</v>
      </c>
      <c r="CI35" s="66">
        <f>SUM(CG35:CH35)</f>
        <v>-16.96914398555414</v>
      </c>
      <c r="CK35" s="23" t="str">
        <f>BO35</f>
        <v>All occupations</v>
      </c>
      <c r="CL35" s="66">
        <f>SUM(CL8:CL33)</f>
        <v>93.103034115447201</v>
      </c>
      <c r="CM35" s="66">
        <f t="shared" ref="CM35:CO35" si="85">SUM(CM8:CM33)</f>
        <v>85.023328126994315</v>
      </c>
      <c r="CN35" s="66">
        <f>SUM(CN8:CN33)</f>
        <v>103.00883345360945</v>
      </c>
      <c r="CO35" s="66">
        <f t="shared" si="85"/>
        <v>76.928707164782622</v>
      </c>
      <c r="CP35" s="66">
        <f>SUM(CP8:CP33)</f>
        <v>58.025003581653245</v>
      </c>
      <c r="CQ35" s="11"/>
      <c r="CR35" s="66">
        <f>CP35-CN35</f>
        <v>-44.98382987195621</v>
      </c>
      <c r="CS35" s="66">
        <f>SUM(CS8:CS33)</f>
        <v>24.661491087152939</v>
      </c>
      <c r="CT35" s="66">
        <f>SUM(CR35:CS35)</f>
        <v>-20.322338784803271</v>
      </c>
    </row>
    <row r="38" spans="1:98" ht="52.5" customHeight="1" x14ac:dyDescent="0.2">
      <c r="A38" s="378" t="str">
        <f>CONCATENATE(A$1," (Continued)")</f>
        <v>Basic Table 2  Employment Change by Occupation and Replacement Demand, RQF8 Doctorate, 2015-2035, South West (Continued)</v>
      </c>
      <c r="B38" s="378"/>
      <c r="C38" s="378"/>
      <c r="D38" s="378"/>
      <c r="E38" s="378"/>
      <c r="F38" s="378"/>
      <c r="G38" s="378"/>
      <c r="H38" s="378"/>
      <c r="I38" s="378"/>
      <c r="J38" s="378"/>
      <c r="L38" s="378" t="str">
        <f>CONCATENATE(L$1," (Continued)")</f>
        <v>Basic Table 2.1  Employment Change by Occupation and Replacement Demand, RQF7 Other higher degree, 2015-2035, South West (Continued)</v>
      </c>
      <c r="M38" s="378"/>
      <c r="N38" s="378"/>
      <c r="O38" s="378"/>
      <c r="P38" s="378"/>
      <c r="Q38" s="378"/>
      <c r="R38" s="378"/>
      <c r="S38" s="378"/>
      <c r="T38" s="378"/>
      <c r="U38" s="378"/>
      <c r="W38" s="378" t="str">
        <f>CONCATENATE(W$1," (Continued)")</f>
        <v>Basic Table 2.2  Employment Change by Occupation and Replacement Demand, RQF6 First degree, 2015-2035, South West (Continued)</v>
      </c>
      <c r="X38" s="378"/>
      <c r="Y38" s="378"/>
      <c r="Z38" s="378"/>
      <c r="AA38" s="378"/>
      <c r="AB38" s="378"/>
      <c r="AC38" s="378"/>
      <c r="AD38" s="378"/>
      <c r="AE38" s="378"/>
      <c r="AF38" s="378"/>
      <c r="AH38" s="378" t="str">
        <f>CONCATENATE(AH$1," (Continued)")</f>
        <v>Basic Table 2.3  Employment Change by Occupation and Replacement Demand, RQF5 Foundation degree;Nursing;Teaching, 2015-2035, South West (Continued)</v>
      </c>
      <c r="AI38" s="378"/>
      <c r="AJ38" s="378"/>
      <c r="AK38" s="378"/>
      <c r="AL38" s="378"/>
      <c r="AM38" s="378"/>
      <c r="AN38" s="378"/>
      <c r="AO38" s="378"/>
      <c r="AP38" s="378"/>
      <c r="AQ38" s="378"/>
      <c r="AS38" s="378" t="str">
        <f>CONCATENATE(AS$1," (Continued)")</f>
        <v>Basic Table 2.4  Employment Change by Occupation and Replacement Demand, RQF4 HE below degree level, 2015-2035, South West (Continued)</v>
      </c>
      <c r="AT38" s="378"/>
      <c r="AU38" s="378"/>
      <c r="AV38" s="378"/>
      <c r="AW38" s="378"/>
      <c r="AX38" s="378"/>
      <c r="AY38" s="378"/>
      <c r="AZ38" s="378"/>
      <c r="BA38" s="378"/>
      <c r="BB38" s="378"/>
      <c r="BD38" s="378" t="str">
        <f>CONCATENATE(BD$1," (Continued)")</f>
        <v>Basic Table 2.5  Employment Change by Occupation and Replacement Demand, RQF3 A level &amp; equivalent, 2015-2035, South West (Continued)</v>
      </c>
      <c r="BE38" s="378"/>
      <c r="BF38" s="378"/>
      <c r="BG38" s="378"/>
      <c r="BH38" s="378"/>
      <c r="BI38" s="378"/>
      <c r="BJ38" s="378"/>
      <c r="BK38" s="378"/>
      <c r="BL38" s="378"/>
      <c r="BM38" s="378"/>
      <c r="BO38" s="378" t="str">
        <f>CONCATENATE(BO$1," (Continued)")</f>
        <v>Basic Table 2.6  Employment Change by Occupation and Replacement Demand, RQF2 GCSE(A-C) &amp; equivalent, 2015-2035, South West (Continued)</v>
      </c>
      <c r="BP38" s="378"/>
      <c r="BQ38" s="378"/>
      <c r="BR38" s="378"/>
      <c r="BS38" s="378"/>
      <c r="BT38" s="378"/>
      <c r="BU38" s="378"/>
      <c r="BV38" s="378"/>
      <c r="BW38" s="378"/>
      <c r="BX38" s="378"/>
      <c r="BZ38" s="378" t="str">
        <f>CONCATENATE(BZ$1," (Continued)")</f>
        <v>Basic Table 2.7  Employment Change by Occupation and Replacement Demand, RQF1 GCSE(below grade C) &amp; equivalent, 2015-2035, South West (Continued)</v>
      </c>
      <c r="CA38" s="378"/>
      <c r="CB38" s="378"/>
      <c r="CC38" s="378"/>
      <c r="CD38" s="378"/>
      <c r="CE38" s="378"/>
      <c r="CF38" s="378"/>
      <c r="CG38" s="378"/>
      <c r="CH38" s="378"/>
      <c r="CI38" s="378"/>
      <c r="CK38" s="378" t="str">
        <f>CONCATENATE(CK$1," (Continued)")</f>
        <v>Basic Table 2.8  Employment Change by Occupation and Replacement Demand, No Qualification, 2015-2035, South West (Continued)</v>
      </c>
      <c r="CL38" s="378"/>
      <c r="CM38" s="378"/>
      <c r="CN38" s="378"/>
      <c r="CO38" s="378"/>
      <c r="CP38" s="378"/>
      <c r="CQ38" s="378"/>
      <c r="CR38" s="378"/>
      <c r="CS38" s="378"/>
      <c r="CT38" s="378"/>
    </row>
    <row r="39" spans="1:98" ht="12.75" customHeight="1" x14ac:dyDescent="0.2"/>
    <row r="40" spans="1:98" ht="12.75" customHeight="1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2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2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95">A8</f>
        <v>11 Corporate managers and directors</v>
      </c>
      <c r="B45" s="17">
        <f t="shared" ref="B45:F54" si="96">B8/B$35*100</f>
        <v>6.6625577684909816</v>
      </c>
      <c r="C45" s="17">
        <f t="shared" si="96"/>
        <v>7.0764433056388851</v>
      </c>
      <c r="D45" s="17">
        <f t="shared" si="96"/>
        <v>7.3962331413732567</v>
      </c>
      <c r="E45" s="17">
        <f t="shared" si="96"/>
        <v>7.0434161651306297</v>
      </c>
      <c r="F45" s="17">
        <f t="shared" si="96"/>
        <v>7.3544655987959358</v>
      </c>
      <c r="H45" s="67">
        <f>IF(D8&gt;0,(H8/D8)*100,0)</f>
        <v>93.842047592837176</v>
      </c>
      <c r="I45" s="68">
        <f>IF(D8&gt;0,I8/D8*100,0)</f>
        <v>73.115245991543091</v>
      </c>
      <c r="J45" s="68">
        <f>IF(D8&gt;0,(J8/D8)*100,0)</f>
        <v>166.95729358438027</v>
      </c>
      <c r="L45" t="str">
        <f>A45</f>
        <v>11 Corporate managers and directors</v>
      </c>
      <c r="M45" s="17">
        <f t="shared" ref="M45:Q54" si="97">M8/M$35*100</f>
        <v>8.1372223279913509</v>
      </c>
      <c r="N45" s="17">
        <f t="shared" si="97"/>
        <v>8.6938696278904359</v>
      </c>
      <c r="O45" s="17">
        <f t="shared" si="97"/>
        <v>8.6112691541619526</v>
      </c>
      <c r="P45" s="17">
        <f t="shared" si="97"/>
        <v>7.8543031366151812</v>
      </c>
      <c r="Q45" s="17">
        <f t="shared" si="97"/>
        <v>8.0148828499253</v>
      </c>
      <c r="S45" s="67">
        <f t="shared" ref="S45:S70" si="98">IF(O8&gt;0,(S8/O8)*100,0)</f>
        <v>80.778278474821533</v>
      </c>
      <c r="T45" s="68">
        <f t="shared" ref="T45:T70" si="99">IF(O8&gt;0,T8/O8*100,0)</f>
        <v>71.703730868667321</v>
      </c>
      <c r="U45" s="68">
        <f t="shared" ref="U45:U70" si="100">IF(O8&gt;0,(U8/O8)*100,0)</f>
        <v>152.48200934348887</v>
      </c>
      <c r="W45" t="str">
        <f>A45</f>
        <v>11 Corporate managers and directors</v>
      </c>
      <c r="X45" s="17">
        <f t="shared" ref="X45:AB54" si="101">X8/X$35*100</f>
        <v>9.6868353299667493</v>
      </c>
      <c r="Y45" s="17">
        <f t="shared" si="101"/>
        <v>10.872546685217218</v>
      </c>
      <c r="Z45" s="17">
        <f t="shared" si="101"/>
        <v>10.6036283945955</v>
      </c>
      <c r="AA45" s="17">
        <f t="shared" si="101"/>
        <v>9.4208092289918763</v>
      </c>
      <c r="AB45" s="17">
        <f t="shared" si="101"/>
        <v>9.2696633496241834</v>
      </c>
      <c r="AD45" s="67">
        <f t="shared" ref="AD45:AD70" si="102">IF(Z8&gt;0,(AD8/Z8)*100,0)</f>
        <v>11.755409348628271</v>
      </c>
      <c r="AE45" s="68">
        <f t="shared" ref="AE45:AE70" si="103">IF(Z8&gt;0,AE8/Z8*100,0)</f>
        <v>61.718481390107804</v>
      </c>
      <c r="AF45" s="68">
        <f t="shared" ref="AF45:AF70" si="104">IF(Z8&gt;0,(AF8/Z8)*100,0)</f>
        <v>73.473890738736074</v>
      </c>
      <c r="AH45" t="str">
        <f>L45</f>
        <v>11 Corporate managers and directors</v>
      </c>
      <c r="AI45" s="17">
        <f t="shared" ref="AI45:AM54" si="105">AI8/AI$35*100</f>
        <v>5.9519679707099868</v>
      </c>
      <c r="AJ45" s="17">
        <f t="shared" si="105"/>
        <v>7.0777197823654614</v>
      </c>
      <c r="AK45" s="17">
        <f t="shared" si="105"/>
        <v>7.3836756905182526</v>
      </c>
      <c r="AL45" s="17">
        <f t="shared" si="105"/>
        <v>6.60800773382097</v>
      </c>
      <c r="AM45" s="17">
        <f t="shared" si="105"/>
        <v>6.3303799400321727</v>
      </c>
      <c r="AO45" s="67">
        <f t="shared" ref="AO45:AO70" si="106">IF(AK8&gt;0,(AO8/AK8)*100,0)</f>
        <v>0.18430211665909116</v>
      </c>
      <c r="AP45" s="68">
        <f t="shared" ref="AP45:AP70" si="107">IF(AK8&gt;0,AP8/AK8*100,0)</f>
        <v>52.536215314654541</v>
      </c>
      <c r="AQ45" s="68">
        <f t="shared" ref="AQ45:AQ70" si="108">IF(AK8&gt;0,(AQ8/AK8)*100,0)</f>
        <v>52.720517431313631</v>
      </c>
      <c r="AS45" t="str">
        <f>W45</f>
        <v>11 Corporate managers and directors</v>
      </c>
      <c r="AT45" s="17">
        <f t="shared" ref="AT45:AX54" si="109">AT8/AT$35*100</f>
        <v>9.2488613828023389</v>
      </c>
      <c r="AU45" s="17">
        <f t="shared" si="109"/>
        <v>9.9972123370061112</v>
      </c>
      <c r="AV45" s="17">
        <f t="shared" si="109"/>
        <v>10.336591645543143</v>
      </c>
      <c r="AW45" s="17">
        <f t="shared" si="109"/>
        <v>8.7933075036655879</v>
      </c>
      <c r="AX45" s="17">
        <f t="shared" si="109"/>
        <v>8.3194462327664986</v>
      </c>
      <c r="AZ45" s="67">
        <f t="shared" ref="AZ45:AZ70" si="110">IF(AV8&gt;0,(AZ8/AV8)*100,0)</f>
        <v>0.96970090770481121</v>
      </c>
      <c r="BA45" s="68">
        <f t="shared" ref="BA45:BA70" si="111">IF(AV8&gt;0,BA8/AV8*100,0)</f>
        <v>53.365139322928513</v>
      </c>
      <c r="BB45" s="68">
        <f t="shared" ref="BB45:BB70" si="112">IF(AV8&gt;0,(BB8/AV8)*100,0)</f>
        <v>54.334840230633318</v>
      </c>
      <c r="BD45" t="str">
        <f>AH45</f>
        <v>11 Corporate managers and directors</v>
      </c>
      <c r="BE45" s="17">
        <f t="shared" ref="BE45:BI54" si="113">BE8/BE$35*100</f>
        <v>5.6542420144325378</v>
      </c>
      <c r="BF45" s="17">
        <f t="shared" si="113"/>
        <v>6.417853600176425</v>
      </c>
      <c r="BG45" s="17">
        <f t="shared" si="113"/>
        <v>6.8017192524594785</v>
      </c>
      <c r="BH45" s="17">
        <f t="shared" si="113"/>
        <v>5.6266339260935636</v>
      </c>
      <c r="BI45" s="17">
        <f t="shared" si="113"/>
        <v>5.5860921310980425</v>
      </c>
      <c r="BK45" s="67">
        <f t="shared" ref="BK45:BK70" si="114">IF(BG8&gt;0,(BK8/BG8)*100,0)</f>
        <v>-11.135464446878387</v>
      </c>
      <c r="BL45" s="68">
        <f t="shared" ref="BL45:BL70" si="115">IF(BG8&gt;0,BL8/BG8*100,0)</f>
        <v>36.652114701422775</v>
      </c>
      <c r="BM45" s="68">
        <f t="shared" ref="BM45:BM70" si="116">IF(BG8&gt;0,(BM8/BG8)*100,0)</f>
        <v>25.516650254544395</v>
      </c>
      <c r="BO45" t="str">
        <f>AS45</f>
        <v>11 Corporate managers and directors</v>
      </c>
      <c r="BP45" s="17">
        <f t="shared" ref="BP45:BT54" si="117">BP8/BP$35*100</f>
        <v>4.428614308113004</v>
      </c>
      <c r="BQ45" s="17">
        <f t="shared" si="117"/>
        <v>4.948759416630053</v>
      </c>
      <c r="BR45" s="17">
        <f t="shared" si="117"/>
        <v>5.5114223764584036</v>
      </c>
      <c r="BS45" s="17">
        <f t="shared" si="117"/>
        <v>4.4758535028375528</v>
      </c>
      <c r="BT45" s="17">
        <f t="shared" si="117"/>
        <v>4.1654735827962242</v>
      </c>
      <c r="BV45" s="67">
        <f t="shared" ref="BV45:BV70" si="118">IF(BR8&gt;0,(BV8/BR8)*100,0)</f>
        <v>-44.932348975691752</v>
      </c>
      <c r="BW45" s="68">
        <f t="shared" ref="BW45:BW70" si="119">IF(BR8&gt;0,BW8/BR8*100,0)</f>
        <v>33.468209227760973</v>
      </c>
      <c r="BX45" s="68">
        <f t="shared" ref="BX45:BX70" si="120">IF(BR8&gt;0,(BX8/BR8)*100,0)</f>
        <v>-11.464139747930778</v>
      </c>
      <c r="BZ45" t="str">
        <f>BD45</f>
        <v>11 Corporate managers and directors</v>
      </c>
      <c r="CA45" s="17">
        <f t="shared" ref="CA45:CE54" si="121">CA8/CA$35*100</f>
        <v>4.4937477963185817</v>
      </c>
      <c r="CB45" s="17">
        <f t="shared" si="121"/>
        <v>5.4487593109137284</v>
      </c>
      <c r="CC45" s="17">
        <f t="shared" si="121"/>
        <v>5.9299900299122488</v>
      </c>
      <c r="CD45" s="17">
        <f t="shared" si="121"/>
        <v>5.6049056951133469</v>
      </c>
      <c r="CE45" s="17">
        <f t="shared" si="121"/>
        <v>6.9242403193618491</v>
      </c>
      <c r="CG45" s="67">
        <f t="shared" ref="CG45:CG70" si="122">IF(CC8&gt;0,(CG8/CC8)*100,0)</f>
        <v>-23.526608256317203</v>
      </c>
      <c r="CH45" s="68">
        <f t="shared" ref="CH45:CH70" si="123">IF(CC8&gt;0,CH8/CC8*100,0)</f>
        <v>32.693696146303367</v>
      </c>
      <c r="CI45" s="68">
        <f t="shared" ref="CI45:CI70" si="124">IF(CC8&gt;0,(CI8/CC8)*100,0)</f>
        <v>9.1670878899861563</v>
      </c>
      <c r="CK45" t="str">
        <f>BO45</f>
        <v>11 Corporate managers and directors</v>
      </c>
      <c r="CL45" s="17">
        <f t="shared" ref="CL45:CP54" si="125">CL8/CL$35*100</f>
        <v>2.5841877548429295</v>
      </c>
      <c r="CM45" s="17">
        <f t="shared" si="125"/>
        <v>3.7730885933775262</v>
      </c>
      <c r="CN45" s="17">
        <f t="shared" si="125"/>
        <v>3.9475184012869238</v>
      </c>
      <c r="CO45" s="17">
        <f t="shared" si="125"/>
        <v>4.0267002600282158</v>
      </c>
      <c r="CP45" s="17">
        <f t="shared" si="125"/>
        <v>4.4439364758321549</v>
      </c>
      <c r="CR45" s="67">
        <f t="shared" ref="CR45:CR70" si="126">IF(CN8&gt;0,(CR8/CN8)*100,0)</f>
        <v>-36.586111288379634</v>
      </c>
      <c r="CS45" s="68">
        <f t="shared" ref="CS45:CS70" si="127">IF(CN8&gt;0,CS8/CN8*100,0)</f>
        <v>26.519484028825758</v>
      </c>
      <c r="CT45" s="68">
        <f t="shared" ref="CT45:CT70" si="128">IF(CN8&gt;0,(CT8/CN8)*100,0)</f>
        <v>-10.066627259553874</v>
      </c>
    </row>
    <row r="46" spans="1:98" x14ac:dyDescent="0.2">
      <c r="A46" t="str">
        <f t="shared" si="95"/>
        <v>12 Other managers and proprietors</v>
      </c>
      <c r="B46" s="17">
        <f t="shared" si="96"/>
        <v>3.2004765956875416</v>
      </c>
      <c r="C46" s="17">
        <f t="shared" si="96"/>
        <v>3.3133371680527475</v>
      </c>
      <c r="D46" s="17">
        <f t="shared" si="96"/>
        <v>3.02067479432811</v>
      </c>
      <c r="E46" s="17">
        <f t="shared" si="96"/>
        <v>3.9242652706746206</v>
      </c>
      <c r="F46" s="17">
        <f t="shared" si="96"/>
        <v>4.4117329792660112</v>
      </c>
      <c r="H46" s="67">
        <f t="shared" ref="H46:H70" si="129">IF(D9&gt;0,(H9/D9)*100,0)</f>
        <v>184.71654661188364</v>
      </c>
      <c r="I46" s="68">
        <f t="shared" ref="I46:I70" si="130">IF(D9&gt;0,I9/D9*100,0)</f>
        <v>119.07789014173014</v>
      </c>
      <c r="J46" s="68">
        <f t="shared" ref="J46:J70" si="131">IF(D9&gt;0,(J9/D9)*100,0)</f>
        <v>303.79443675361381</v>
      </c>
      <c r="L46" t="str">
        <f t="shared" ref="L46:L69" si="132">A46</f>
        <v>12 Other managers and proprietors</v>
      </c>
      <c r="M46" s="17">
        <f t="shared" si="97"/>
        <v>3.6926834882725452</v>
      </c>
      <c r="N46" s="17">
        <f t="shared" si="97"/>
        <v>3.7912311540019483</v>
      </c>
      <c r="O46" s="17">
        <f t="shared" si="97"/>
        <v>3.697294861949513</v>
      </c>
      <c r="P46" s="17">
        <f t="shared" si="97"/>
        <v>4.614032004780408</v>
      </c>
      <c r="Q46" s="17">
        <f t="shared" si="97"/>
        <v>5.2549356357823447</v>
      </c>
      <c r="S46" s="67">
        <f t="shared" si="98"/>
        <v>176.05749642688866</v>
      </c>
      <c r="T46" s="68">
        <f t="shared" si="99"/>
        <v>113.75079956351574</v>
      </c>
      <c r="U46" s="68">
        <f t="shared" si="100"/>
        <v>289.80829599040436</v>
      </c>
      <c r="W46" t="str">
        <f t="shared" ref="W46:W69" si="133">A46</f>
        <v>12 Other managers and proprietors</v>
      </c>
      <c r="X46" s="17">
        <f t="shared" si="101"/>
        <v>4.3223368707844951</v>
      </c>
      <c r="Y46" s="17">
        <f t="shared" si="101"/>
        <v>4.5868334452337196</v>
      </c>
      <c r="Z46" s="17">
        <f t="shared" si="101"/>
        <v>4.4234660708880469</v>
      </c>
      <c r="AA46" s="17">
        <f t="shared" si="101"/>
        <v>5.4452640375917678</v>
      </c>
      <c r="AB46" s="17">
        <f t="shared" si="101"/>
        <v>5.8342131179993286</v>
      </c>
      <c r="AD46" s="67">
        <f t="shared" si="102"/>
        <v>68.608195352719363</v>
      </c>
      <c r="AE46" s="68">
        <f t="shared" si="103"/>
        <v>98.55473403159553</v>
      </c>
      <c r="AF46" s="68">
        <f t="shared" si="104"/>
        <v>167.16292938431491</v>
      </c>
      <c r="AH46" t="str">
        <f t="shared" ref="AH46:AH69" si="134">L46</f>
        <v>12 Other managers and proprietors</v>
      </c>
      <c r="AI46" s="17">
        <f t="shared" si="105"/>
        <v>3.9638758708130211</v>
      </c>
      <c r="AJ46" s="17">
        <f t="shared" si="105"/>
        <v>4.6094621771874307</v>
      </c>
      <c r="AK46" s="17">
        <f t="shared" si="105"/>
        <v>4.7483257001284702</v>
      </c>
      <c r="AL46" s="17">
        <f t="shared" si="105"/>
        <v>5.6868743020555552</v>
      </c>
      <c r="AM46" s="17">
        <f t="shared" si="105"/>
        <v>6.354757393124566</v>
      </c>
      <c r="AO46" s="67">
        <f t="shared" si="106"/>
        <v>56.387122302899627</v>
      </c>
      <c r="AP46" s="68">
        <f t="shared" si="107"/>
        <v>87.323158948675072</v>
      </c>
      <c r="AQ46" s="68">
        <f t="shared" si="108"/>
        <v>143.71028125157471</v>
      </c>
      <c r="AS46" t="str">
        <f t="shared" ref="AS46:AS69" si="135">W46</f>
        <v>12 Other managers and proprietors</v>
      </c>
      <c r="AT46" s="17">
        <f t="shared" si="109"/>
        <v>4.6184947611545546</v>
      </c>
      <c r="AU46" s="17">
        <f t="shared" si="109"/>
        <v>4.8813575355587222</v>
      </c>
      <c r="AV46" s="17">
        <f t="shared" si="109"/>
        <v>4.8372945922325332</v>
      </c>
      <c r="AW46" s="17">
        <f t="shared" si="109"/>
        <v>5.7741678751671106</v>
      </c>
      <c r="AX46" s="17">
        <f t="shared" si="109"/>
        <v>5.5307592397647465</v>
      </c>
      <c r="AZ46" s="67">
        <f t="shared" si="110"/>
        <v>43.435359653717839</v>
      </c>
      <c r="BA46" s="68">
        <f t="shared" si="111"/>
        <v>83.440849848133837</v>
      </c>
      <c r="BB46" s="68">
        <f t="shared" si="112"/>
        <v>126.87620950185168</v>
      </c>
      <c r="BD46" t="str">
        <f t="shared" ref="BD46:BD69" si="136">AH46</f>
        <v>12 Other managers and proprietors</v>
      </c>
      <c r="BE46" s="17">
        <f t="shared" si="113"/>
        <v>3.2058454951846773</v>
      </c>
      <c r="BF46" s="17">
        <f t="shared" si="113"/>
        <v>3.022947784029177</v>
      </c>
      <c r="BG46" s="17">
        <f t="shared" si="113"/>
        <v>3.2456925534832473</v>
      </c>
      <c r="BH46" s="17">
        <f t="shared" si="113"/>
        <v>3.4903907917849573</v>
      </c>
      <c r="BI46" s="17">
        <f t="shared" si="113"/>
        <v>3.5790636158717053</v>
      </c>
      <c r="BK46" s="67">
        <f t="shared" si="114"/>
        <v>19.316669380184052</v>
      </c>
      <c r="BL46" s="68">
        <f t="shared" si="115"/>
        <v>49.126509967628188</v>
      </c>
      <c r="BM46" s="68">
        <f t="shared" si="116"/>
        <v>68.443179347812247</v>
      </c>
      <c r="BO46" t="str">
        <f t="shared" ref="BO46:BO69" si="137">AS46</f>
        <v>12 Other managers and proprietors</v>
      </c>
      <c r="BP46" s="17">
        <f t="shared" si="117"/>
        <v>3.3969009114854578</v>
      </c>
      <c r="BQ46" s="17">
        <f t="shared" si="117"/>
        <v>3.6674147950296643</v>
      </c>
      <c r="BR46" s="17">
        <f t="shared" si="117"/>
        <v>3.9201407941725579</v>
      </c>
      <c r="BS46" s="17">
        <f t="shared" si="117"/>
        <v>4.5600560651672986</v>
      </c>
      <c r="BT46" s="17">
        <f t="shared" si="117"/>
        <v>4.7538410646213585</v>
      </c>
      <c r="BV46" s="67">
        <f t="shared" si="118"/>
        <v>-11.64342867641763</v>
      </c>
      <c r="BW46" s="68">
        <f t="shared" si="119"/>
        <v>55.146810331556175</v>
      </c>
      <c r="BX46" s="68">
        <f t="shared" si="120"/>
        <v>43.503381655138554</v>
      </c>
      <c r="BZ46" t="str">
        <f t="shared" ref="BZ46:BZ69" si="138">BD46</f>
        <v>12 Other managers and proprietors</v>
      </c>
      <c r="CA46" s="17">
        <f t="shared" si="121"/>
        <v>3.6632478506159458</v>
      </c>
      <c r="CB46" s="17">
        <f t="shared" si="121"/>
        <v>4.1749527259526484</v>
      </c>
      <c r="CC46" s="17">
        <f t="shared" si="121"/>
        <v>4.3644925914744155</v>
      </c>
      <c r="CD46" s="17">
        <f t="shared" si="121"/>
        <v>5.1933301213473877</v>
      </c>
      <c r="CE46" s="17">
        <f t="shared" si="121"/>
        <v>6.185587580567212</v>
      </c>
      <c r="CG46" s="67">
        <f t="shared" si="122"/>
        <v>-7.1804661877695644</v>
      </c>
      <c r="CH46" s="68">
        <f t="shared" si="123"/>
        <v>44.427124043124607</v>
      </c>
      <c r="CI46" s="68">
        <f t="shared" si="124"/>
        <v>37.246657855355039</v>
      </c>
      <c r="CK46" t="str">
        <f t="shared" ref="CK46:CK69" si="139">BO46</f>
        <v>12 Other managers and proprietors</v>
      </c>
      <c r="CL46" s="17">
        <f t="shared" si="125"/>
        <v>3.0866594079378373</v>
      </c>
      <c r="CM46" s="17">
        <f t="shared" si="125"/>
        <v>3.2835194378739727</v>
      </c>
      <c r="CN46" s="17">
        <f t="shared" si="125"/>
        <v>3.5301661458348668</v>
      </c>
      <c r="CO46" s="17">
        <f t="shared" si="125"/>
        <v>4.6919757883874951</v>
      </c>
      <c r="CP46" s="17">
        <f t="shared" si="125"/>
        <v>6.3762902100146359</v>
      </c>
      <c r="CR46" s="67">
        <f t="shared" si="126"/>
        <v>1.7451312894079789</v>
      </c>
      <c r="CS46" s="68">
        <f t="shared" si="127"/>
        <v>37.677316852883486</v>
      </c>
      <c r="CT46" s="68">
        <f t="shared" si="128"/>
        <v>39.422448142291465</v>
      </c>
    </row>
    <row r="47" spans="1:98" x14ac:dyDescent="0.2">
      <c r="A47" t="str">
        <f t="shared" si="95"/>
        <v>21 Science, research, engineering and technology professionals</v>
      </c>
      <c r="B47" s="17">
        <f t="shared" si="96"/>
        <v>17.677807107616442</v>
      </c>
      <c r="C47" s="17">
        <f t="shared" si="96"/>
        <v>18.221533119797943</v>
      </c>
      <c r="D47" s="17">
        <f t="shared" si="96"/>
        <v>18.108614759253499</v>
      </c>
      <c r="E47" s="17">
        <f t="shared" si="96"/>
        <v>17.824109991701516</v>
      </c>
      <c r="F47" s="17">
        <f t="shared" si="96"/>
        <v>17.445041011910824</v>
      </c>
      <c r="H47" s="67">
        <f t="shared" si="129"/>
        <v>87.799410764769007</v>
      </c>
      <c r="I47" s="68">
        <f t="shared" si="130"/>
        <v>53.487111717416447</v>
      </c>
      <c r="J47" s="68">
        <f t="shared" si="131"/>
        <v>141.28652248218546</v>
      </c>
      <c r="L47" t="str">
        <f t="shared" si="132"/>
        <v>21 Science, research, engineering and technology professionals</v>
      </c>
      <c r="M47" s="17">
        <f t="shared" si="97"/>
        <v>10.496491602157601</v>
      </c>
      <c r="N47" s="17">
        <f t="shared" si="97"/>
        <v>10.941023873443543</v>
      </c>
      <c r="O47" s="17">
        <f t="shared" si="97"/>
        <v>10.860703708292137</v>
      </c>
      <c r="P47" s="17">
        <f t="shared" si="97"/>
        <v>11.234520095424347</v>
      </c>
      <c r="Q47" s="17">
        <f t="shared" si="97"/>
        <v>11.173344352869796</v>
      </c>
      <c r="S47" s="67">
        <f t="shared" si="98"/>
        <v>99.8211476666024</v>
      </c>
      <c r="T47" s="68">
        <f t="shared" si="99"/>
        <v>59.135333602427274</v>
      </c>
      <c r="U47" s="68">
        <f t="shared" si="100"/>
        <v>158.95648126902969</v>
      </c>
      <c r="W47" t="str">
        <f t="shared" si="133"/>
        <v>21 Science, research, engineering and technology professionals</v>
      </c>
      <c r="X47" s="17">
        <f t="shared" si="101"/>
        <v>9.5972037455538111</v>
      </c>
      <c r="Y47" s="17">
        <f t="shared" si="101"/>
        <v>9.8520245521877587</v>
      </c>
      <c r="Z47" s="17">
        <f t="shared" si="101"/>
        <v>9.5566323695885895</v>
      </c>
      <c r="AA47" s="17">
        <f t="shared" si="101"/>
        <v>9.0082846848267568</v>
      </c>
      <c r="AB47" s="17">
        <f t="shared" si="101"/>
        <v>8.1050650366722916</v>
      </c>
      <c r="AD47" s="67">
        <f t="shared" si="102"/>
        <v>8.4203276918235286</v>
      </c>
      <c r="AE47" s="68">
        <f t="shared" si="103"/>
        <v>43.337070002775093</v>
      </c>
      <c r="AF47" s="68">
        <f t="shared" si="104"/>
        <v>51.757397694598616</v>
      </c>
      <c r="AH47" t="str">
        <f t="shared" si="134"/>
        <v>21 Science, research, engineering and technology professionals</v>
      </c>
      <c r="AI47" s="17">
        <f t="shared" si="105"/>
        <v>3.1952979290361214</v>
      </c>
      <c r="AJ47" s="17">
        <f t="shared" si="105"/>
        <v>3.4698561623328525</v>
      </c>
      <c r="AK47" s="17">
        <f t="shared" si="105"/>
        <v>3.7703825009513721</v>
      </c>
      <c r="AL47" s="17">
        <f t="shared" si="105"/>
        <v>3.783421752112587</v>
      </c>
      <c r="AM47" s="17">
        <f t="shared" si="105"/>
        <v>3.6569734565187666</v>
      </c>
      <c r="AO47" s="67">
        <f t="shared" si="106"/>
        <v>13.338878477502861</v>
      </c>
      <c r="AP47" s="68">
        <f t="shared" si="107"/>
        <v>42.899571677531497</v>
      </c>
      <c r="AQ47" s="68">
        <f t="shared" si="108"/>
        <v>56.238450155034357</v>
      </c>
      <c r="AS47" t="str">
        <f t="shared" si="135"/>
        <v>21 Science, research, engineering and technology professionals</v>
      </c>
      <c r="AT47" s="17">
        <f t="shared" si="109"/>
        <v>9.4934128646663609</v>
      </c>
      <c r="AU47" s="17">
        <f t="shared" si="109"/>
        <v>9.7593108195490732</v>
      </c>
      <c r="AV47" s="17">
        <f t="shared" si="109"/>
        <v>9.2330525905095868</v>
      </c>
      <c r="AW47" s="17">
        <f t="shared" si="109"/>
        <v>7.9678841203333199</v>
      </c>
      <c r="AX47" s="17">
        <f t="shared" si="109"/>
        <v>6.6645381503084566</v>
      </c>
      <c r="AZ47" s="67">
        <f t="shared" si="110"/>
        <v>-9.4478515095009463</v>
      </c>
      <c r="BA47" s="68">
        <f t="shared" si="111"/>
        <v>35.846207654363809</v>
      </c>
      <c r="BB47" s="68">
        <f t="shared" si="112"/>
        <v>26.398356144862863</v>
      </c>
      <c r="BD47" t="str">
        <f t="shared" si="136"/>
        <v>21 Science, research, engineering and technology professionals</v>
      </c>
      <c r="BE47" s="17">
        <f t="shared" si="113"/>
        <v>3.4278273650200801</v>
      </c>
      <c r="BF47" s="17">
        <f t="shared" si="113"/>
        <v>3.6344972288941055</v>
      </c>
      <c r="BG47" s="17">
        <f t="shared" si="113"/>
        <v>3.9905231672236647</v>
      </c>
      <c r="BH47" s="17">
        <f t="shared" si="113"/>
        <v>3.5064414558286261</v>
      </c>
      <c r="BI47" s="17">
        <f t="shared" si="113"/>
        <v>3.2585953534646208</v>
      </c>
      <c r="BK47" s="67">
        <f t="shared" si="114"/>
        <v>-11.643260642375607</v>
      </c>
      <c r="BL47" s="68">
        <f t="shared" si="115"/>
        <v>25.516743103479765</v>
      </c>
      <c r="BM47" s="68">
        <f t="shared" si="116"/>
        <v>13.873482461104162</v>
      </c>
      <c r="BO47" t="str">
        <f t="shared" si="137"/>
        <v>21 Science, research, engineering and technology professionals</v>
      </c>
      <c r="BP47" s="17">
        <f t="shared" si="117"/>
        <v>2.4358465829040576</v>
      </c>
      <c r="BQ47" s="17">
        <f t="shared" si="117"/>
        <v>2.6658660964584335</v>
      </c>
      <c r="BR47" s="17">
        <f t="shared" si="117"/>
        <v>3.1153117036700362</v>
      </c>
      <c r="BS47" s="17">
        <f t="shared" si="117"/>
        <v>2.8774990677705481</v>
      </c>
      <c r="BT47" s="17">
        <f t="shared" si="117"/>
        <v>2.9165034826332548</v>
      </c>
      <c r="BV47" s="67">
        <f t="shared" si="118"/>
        <v>-31.788617032639195</v>
      </c>
      <c r="BW47" s="68">
        <f t="shared" si="119"/>
        <v>28.19786637565128</v>
      </c>
      <c r="BX47" s="68">
        <f t="shared" si="120"/>
        <v>-3.5907506569879102</v>
      </c>
      <c r="BZ47" t="str">
        <f t="shared" si="138"/>
        <v>21 Science, research, engineering and technology professionals</v>
      </c>
      <c r="CA47" s="17">
        <f t="shared" si="121"/>
        <v>2.1493775748958357</v>
      </c>
      <c r="CB47" s="17">
        <f t="shared" si="121"/>
        <v>2.5756785742765769</v>
      </c>
      <c r="CC47" s="17">
        <f t="shared" si="121"/>
        <v>2.8433546012183393</v>
      </c>
      <c r="CD47" s="17">
        <f t="shared" si="121"/>
        <v>2.802391666850085</v>
      </c>
      <c r="CE47" s="17">
        <f t="shared" si="121"/>
        <v>2.8782250518185202</v>
      </c>
      <c r="CG47" s="67">
        <f t="shared" si="122"/>
        <v>-33.704216571879734</v>
      </c>
      <c r="CH47" s="68">
        <f t="shared" si="123"/>
        <v>22.780986510911593</v>
      </c>
      <c r="CI47" s="68">
        <f t="shared" si="124"/>
        <v>-10.923230060968134</v>
      </c>
      <c r="CK47" t="str">
        <f t="shared" si="139"/>
        <v>21 Science, research, engineering and technology professionals</v>
      </c>
      <c r="CL47" s="17">
        <f t="shared" si="125"/>
        <v>1.0584141009926229</v>
      </c>
      <c r="CM47" s="17">
        <f t="shared" si="125"/>
        <v>1.6446693517545647</v>
      </c>
      <c r="CN47" s="17">
        <f t="shared" si="125"/>
        <v>2.0688937285770956</v>
      </c>
      <c r="CO47" s="17">
        <f t="shared" si="125"/>
        <v>2.5775300098264058</v>
      </c>
      <c r="CP47" s="17">
        <f t="shared" si="125"/>
        <v>3.1502510498637566</v>
      </c>
      <c r="CR47" s="67">
        <f t="shared" si="126"/>
        <v>-14.227575000247771</v>
      </c>
      <c r="CS47" s="68">
        <f t="shared" si="127"/>
        <v>26.810048083943204</v>
      </c>
      <c r="CT47" s="68">
        <f t="shared" si="128"/>
        <v>12.582473083695437</v>
      </c>
    </row>
    <row r="48" spans="1:98" x14ac:dyDescent="0.2">
      <c r="A48" t="str">
        <f t="shared" si="95"/>
        <v>22 Health professionals</v>
      </c>
      <c r="B48" s="17">
        <f t="shared" si="96"/>
        <v>19.664452933089869</v>
      </c>
      <c r="C48" s="17">
        <f t="shared" si="96"/>
        <v>19.577439399816544</v>
      </c>
      <c r="D48" s="17">
        <f t="shared" si="96"/>
        <v>20.081312869330119</v>
      </c>
      <c r="E48" s="17">
        <f t="shared" si="96"/>
        <v>21.147470457924811</v>
      </c>
      <c r="F48" s="17">
        <f t="shared" si="96"/>
        <v>22.190582337015076</v>
      </c>
      <c r="H48" s="67">
        <f t="shared" si="129"/>
        <v>115.41902555020546</v>
      </c>
      <c r="I48" s="68">
        <f t="shared" si="130"/>
        <v>76.909812749156586</v>
      </c>
      <c r="J48" s="68">
        <f t="shared" si="131"/>
        <v>192.32883829936202</v>
      </c>
      <c r="L48" t="str">
        <f t="shared" si="132"/>
        <v>22 Health professionals</v>
      </c>
      <c r="M48" s="17">
        <f t="shared" si="97"/>
        <v>8.125761692687945</v>
      </c>
      <c r="N48" s="17">
        <f t="shared" si="97"/>
        <v>8.285903555962518</v>
      </c>
      <c r="O48" s="17">
        <f t="shared" si="97"/>
        <v>8.0231231146265518</v>
      </c>
      <c r="P48" s="17">
        <f t="shared" si="97"/>
        <v>8.0810247111496167</v>
      </c>
      <c r="Q48" s="17">
        <f t="shared" si="97"/>
        <v>8.1383957007985952</v>
      </c>
      <c r="S48" s="67">
        <f t="shared" si="98"/>
        <v>97.020572569618949</v>
      </c>
      <c r="T48" s="68">
        <f t="shared" si="99"/>
        <v>76.934153631178674</v>
      </c>
      <c r="U48" s="68">
        <f t="shared" si="100"/>
        <v>173.95472620079764</v>
      </c>
      <c r="W48" t="str">
        <f t="shared" si="133"/>
        <v>22 Health professionals</v>
      </c>
      <c r="X48" s="17">
        <f t="shared" si="101"/>
        <v>8.5270605129836383</v>
      </c>
      <c r="Y48" s="17">
        <f t="shared" si="101"/>
        <v>8.8790276108520345</v>
      </c>
      <c r="Z48" s="17">
        <f t="shared" si="101"/>
        <v>8.6188426904293589</v>
      </c>
      <c r="AA48" s="17">
        <f t="shared" si="101"/>
        <v>8.8783803755317852</v>
      </c>
      <c r="AB48" s="17">
        <f t="shared" si="101"/>
        <v>8.6538835618128171</v>
      </c>
      <c r="AD48" s="67">
        <f t="shared" si="102"/>
        <v>28.357480685586513</v>
      </c>
      <c r="AE48" s="68">
        <f t="shared" si="103"/>
        <v>69.42526729822643</v>
      </c>
      <c r="AF48" s="68">
        <f t="shared" si="104"/>
        <v>97.782747983812939</v>
      </c>
      <c r="AH48" t="str">
        <f t="shared" si="134"/>
        <v>22 Health professionals</v>
      </c>
      <c r="AI48" s="17">
        <f t="shared" si="105"/>
        <v>14.120926694074306</v>
      </c>
      <c r="AJ48" s="17">
        <f t="shared" si="105"/>
        <v>11.2903306346447</v>
      </c>
      <c r="AK48" s="17">
        <f t="shared" si="105"/>
        <v>9.8274591216003042</v>
      </c>
      <c r="AL48" s="17">
        <f t="shared" si="105"/>
        <v>5.6901997769979875</v>
      </c>
      <c r="AM48" s="17">
        <f t="shared" si="105"/>
        <v>1.973555724502007</v>
      </c>
      <c r="AO48" s="67">
        <f t="shared" si="106"/>
        <v>-76.533373485651694</v>
      </c>
      <c r="AP48" s="68">
        <f t="shared" si="107"/>
        <v>20.541063976458137</v>
      </c>
      <c r="AQ48" s="68">
        <f t="shared" si="108"/>
        <v>-55.992309509193547</v>
      </c>
      <c r="AS48" t="str">
        <f t="shared" si="135"/>
        <v>22 Health professionals</v>
      </c>
      <c r="AT48" s="17">
        <f t="shared" si="109"/>
        <v>2.0455688847180538</v>
      </c>
      <c r="AU48" s="17">
        <f t="shared" si="109"/>
        <v>2.2056021647404571</v>
      </c>
      <c r="AV48" s="17">
        <f t="shared" si="109"/>
        <v>2.3567922870301143</v>
      </c>
      <c r="AW48" s="17">
        <f t="shared" si="109"/>
        <v>2.3948510324064349</v>
      </c>
      <c r="AX48" s="17">
        <f t="shared" si="109"/>
        <v>2.3608609993819916</v>
      </c>
      <c r="AZ48" s="67">
        <f t="shared" si="110"/>
        <v>25.667541725706521</v>
      </c>
      <c r="BA48" s="68">
        <f t="shared" si="111"/>
        <v>61.546189863881438</v>
      </c>
      <c r="BB48" s="68">
        <f t="shared" si="112"/>
        <v>87.213731589587965</v>
      </c>
      <c r="BD48" t="str">
        <f t="shared" si="136"/>
        <v>22 Health professionals</v>
      </c>
      <c r="BE48" s="17">
        <f t="shared" si="113"/>
        <v>1.7534472473747731</v>
      </c>
      <c r="BF48" s="17">
        <f t="shared" si="113"/>
        <v>2.2650411915175326</v>
      </c>
      <c r="BG48" s="17">
        <f t="shared" si="113"/>
        <v>2.3583803322725294</v>
      </c>
      <c r="BH48" s="17">
        <f t="shared" si="113"/>
        <v>2.6054213463373754</v>
      </c>
      <c r="BI48" s="17">
        <f t="shared" si="113"/>
        <v>2.8062955134642418</v>
      </c>
      <c r="BK48" s="67">
        <f t="shared" si="114"/>
        <v>28.753380572904852</v>
      </c>
      <c r="BL48" s="68">
        <f t="shared" si="115"/>
        <v>62.620365531595709</v>
      </c>
      <c r="BM48" s="68">
        <f t="shared" si="116"/>
        <v>91.373746104500569</v>
      </c>
      <c r="BO48" t="str">
        <f t="shared" si="137"/>
        <v>22 Health professionals</v>
      </c>
      <c r="BP48" s="17">
        <f t="shared" si="117"/>
        <v>1.4918692364664781</v>
      </c>
      <c r="BQ48" s="17">
        <f t="shared" si="117"/>
        <v>1.8581812301850642</v>
      </c>
      <c r="BR48" s="17">
        <f t="shared" si="117"/>
        <v>1.8709583294009722</v>
      </c>
      <c r="BS48" s="17">
        <f t="shared" si="117"/>
        <v>1.9550924170798238</v>
      </c>
      <c r="BT48" s="17">
        <f t="shared" si="117"/>
        <v>1.8699550041751303</v>
      </c>
      <c r="BV48" s="67">
        <f t="shared" si="118"/>
        <v>-27.177949463760452</v>
      </c>
      <c r="BW48" s="68">
        <f t="shared" si="119"/>
        <v>45.079015792774641</v>
      </c>
      <c r="BX48" s="68">
        <f t="shared" si="120"/>
        <v>17.901066329014188</v>
      </c>
      <c r="BZ48" t="str">
        <f t="shared" si="138"/>
        <v>22 Health professionals</v>
      </c>
      <c r="CA48" s="17">
        <f t="shared" si="121"/>
        <v>1.182954830929702</v>
      </c>
      <c r="CB48" s="17">
        <f t="shared" si="121"/>
        <v>1.4888367558736488</v>
      </c>
      <c r="CC48" s="17">
        <f t="shared" si="121"/>
        <v>1.5129968974340453</v>
      </c>
      <c r="CD48" s="17">
        <f t="shared" si="121"/>
        <v>1.6075395265468222</v>
      </c>
      <c r="CE48" s="17">
        <f t="shared" si="121"/>
        <v>1.6267210721404479</v>
      </c>
      <c r="CG48" s="67">
        <f t="shared" si="122"/>
        <v>-29.584666894503886</v>
      </c>
      <c r="CH48" s="68">
        <f t="shared" si="123"/>
        <v>33.297279622644659</v>
      </c>
      <c r="CI48" s="68">
        <f t="shared" si="124"/>
        <v>3.7126127281407766</v>
      </c>
      <c r="CK48" t="str">
        <f t="shared" si="139"/>
        <v>22 Health professionals</v>
      </c>
      <c r="CL48" s="17">
        <f t="shared" si="125"/>
        <v>0.48385573366550072</v>
      </c>
      <c r="CM48" s="17">
        <f t="shared" si="125"/>
        <v>0.62217387479936281</v>
      </c>
      <c r="CN48" s="17">
        <f t="shared" si="125"/>
        <v>0.68329717556622205</v>
      </c>
      <c r="CO48" s="17">
        <f t="shared" si="125"/>
        <v>1.3383780723537777</v>
      </c>
      <c r="CP48" s="17">
        <f t="shared" si="125"/>
        <v>2.3503678712020912</v>
      </c>
      <c r="CR48" s="67">
        <f t="shared" si="126"/>
        <v>93.761248089137922</v>
      </c>
      <c r="CS48" s="68">
        <f t="shared" si="127"/>
        <v>75.305437525864988</v>
      </c>
      <c r="CT48" s="68">
        <f t="shared" si="128"/>
        <v>169.06668561500288</v>
      </c>
    </row>
    <row r="49" spans="1:98" x14ac:dyDescent="0.2">
      <c r="A49" t="str">
        <f t="shared" si="95"/>
        <v>23 Teaching and other educational professionals</v>
      </c>
      <c r="B49" s="17">
        <f t="shared" si="96"/>
        <v>29.305396289354789</v>
      </c>
      <c r="C49" s="17">
        <f t="shared" si="96"/>
        <v>27.516504979631556</v>
      </c>
      <c r="D49" s="17">
        <f t="shared" si="96"/>
        <v>27.24404470316502</v>
      </c>
      <c r="E49" s="17">
        <f t="shared" si="96"/>
        <v>24.622797999485734</v>
      </c>
      <c r="F49" s="17">
        <f t="shared" si="96"/>
        <v>21.032536225240996</v>
      </c>
      <c r="H49" s="67">
        <f t="shared" si="129"/>
        <v>50.496888686521515</v>
      </c>
      <c r="I49" s="68">
        <f t="shared" si="130"/>
        <v>63.565494941978365</v>
      </c>
      <c r="J49" s="68">
        <f t="shared" si="131"/>
        <v>114.06238362849987</v>
      </c>
      <c r="L49" t="str">
        <f t="shared" si="132"/>
        <v>23 Teaching and other educational professionals</v>
      </c>
      <c r="M49" s="17">
        <f t="shared" si="97"/>
        <v>23.545578189723727</v>
      </c>
      <c r="N49" s="17">
        <f t="shared" si="97"/>
        <v>22.666316315297209</v>
      </c>
      <c r="O49" s="17">
        <f t="shared" si="97"/>
        <v>22.476449812735915</v>
      </c>
      <c r="P49" s="17">
        <f t="shared" si="97"/>
        <v>20.081731518353084</v>
      </c>
      <c r="Q49" s="17">
        <f t="shared" si="97"/>
        <v>16.962937156755952</v>
      </c>
      <c r="S49" s="67">
        <f t="shared" si="98"/>
        <v>46.585012888940845</v>
      </c>
      <c r="T49" s="68">
        <f t="shared" si="99"/>
        <v>64.876861349970937</v>
      </c>
      <c r="U49" s="68">
        <f t="shared" si="100"/>
        <v>111.46187423891179</v>
      </c>
      <c r="W49" t="str">
        <f t="shared" si="133"/>
        <v>23 Teaching and other educational professionals</v>
      </c>
      <c r="X49" s="17">
        <f t="shared" si="101"/>
        <v>7.892159701148735</v>
      </c>
      <c r="Y49" s="17">
        <f t="shared" si="101"/>
        <v>6.9069452299339194</v>
      </c>
      <c r="Z49" s="17">
        <f t="shared" si="101"/>
        <v>6.8822910428050639</v>
      </c>
      <c r="AA49" s="17">
        <f t="shared" si="101"/>
        <v>5.4523249167455319</v>
      </c>
      <c r="AB49" s="17">
        <f t="shared" si="101"/>
        <v>3.699442153982317</v>
      </c>
      <c r="AD49" s="67">
        <f t="shared" si="102"/>
        <v>-31.283299598308467</v>
      </c>
      <c r="AE49" s="68">
        <f t="shared" si="103"/>
        <v>44.903252509635998</v>
      </c>
      <c r="AF49" s="68">
        <f t="shared" si="104"/>
        <v>13.619952911327537</v>
      </c>
      <c r="AH49" t="str">
        <f t="shared" si="134"/>
        <v>23 Teaching and other educational professionals</v>
      </c>
      <c r="AI49" s="17">
        <f t="shared" si="105"/>
        <v>3.9285931987774476</v>
      </c>
      <c r="AJ49" s="17">
        <f t="shared" si="105"/>
        <v>2.6354345586029964</v>
      </c>
      <c r="AK49" s="17">
        <f t="shared" si="105"/>
        <v>2.1729208245046925</v>
      </c>
      <c r="AL49" s="17">
        <f t="shared" si="105"/>
        <v>1.5329450585791824</v>
      </c>
      <c r="AM49" s="17">
        <f t="shared" si="105"/>
        <v>1.4442244448338726</v>
      </c>
      <c r="AO49" s="67">
        <f t="shared" si="106"/>
        <v>-22.33357707496825</v>
      </c>
      <c r="AP49" s="68">
        <f t="shared" si="107"/>
        <v>26.995234336321182</v>
      </c>
      <c r="AQ49" s="68">
        <f t="shared" si="108"/>
        <v>4.6616572613529348</v>
      </c>
      <c r="AS49" t="str">
        <f t="shared" si="135"/>
        <v>23 Teaching and other educational professionals</v>
      </c>
      <c r="AT49" s="17">
        <f t="shared" si="109"/>
        <v>1.0869355744666065</v>
      </c>
      <c r="AU49" s="17">
        <f t="shared" si="109"/>
        <v>1.1439371074459783</v>
      </c>
      <c r="AV49" s="17">
        <f t="shared" si="109"/>
        <v>0.9886882211114788</v>
      </c>
      <c r="AW49" s="17">
        <f t="shared" si="109"/>
        <v>0.77226274699886743</v>
      </c>
      <c r="AX49" s="17">
        <f t="shared" si="109"/>
        <v>0.53607332846966071</v>
      </c>
      <c r="AZ49" s="67">
        <f t="shared" si="110"/>
        <v>-31.979651935582449</v>
      </c>
      <c r="BA49" s="68">
        <f t="shared" si="111"/>
        <v>42.82943411732191</v>
      </c>
      <c r="BB49" s="68">
        <f t="shared" si="112"/>
        <v>10.84978218173946</v>
      </c>
      <c r="BD49" t="str">
        <f t="shared" si="136"/>
        <v>23 Teaching and other educational professionals</v>
      </c>
      <c r="BE49" s="17">
        <f t="shared" si="113"/>
        <v>0.9960572453718628</v>
      </c>
      <c r="BF49" s="17">
        <f t="shared" si="113"/>
        <v>1.1049379772531385</v>
      </c>
      <c r="BG49" s="17">
        <f t="shared" si="113"/>
        <v>1.0999060365348881</v>
      </c>
      <c r="BH49" s="17">
        <f t="shared" si="113"/>
        <v>1.0605042310758324</v>
      </c>
      <c r="BI49" s="17">
        <f t="shared" si="113"/>
        <v>1.1115191493930914</v>
      </c>
      <c r="BK49" s="67">
        <f t="shared" si="114"/>
        <v>9.3453821797730807</v>
      </c>
      <c r="BL49" s="68">
        <f t="shared" si="115"/>
        <v>42.845214405861171</v>
      </c>
      <c r="BM49" s="68">
        <f t="shared" si="116"/>
        <v>52.190596585634253</v>
      </c>
      <c r="BO49" t="str">
        <f t="shared" si="137"/>
        <v>23 Teaching and other educational professionals</v>
      </c>
      <c r="BP49" s="17">
        <f t="shared" si="117"/>
        <v>0.74122204297227123</v>
      </c>
      <c r="BQ49" s="17">
        <f t="shared" si="117"/>
        <v>0.8473955013193637</v>
      </c>
      <c r="BR49" s="17">
        <f t="shared" si="117"/>
        <v>0.81488708388014508</v>
      </c>
      <c r="BS49" s="17">
        <f t="shared" si="117"/>
        <v>0.77366091371376755</v>
      </c>
      <c r="BT49" s="17">
        <f t="shared" si="117"/>
        <v>0.73944754199178686</v>
      </c>
      <c r="BV49" s="67">
        <f t="shared" si="118"/>
        <v>-33.884117746744252</v>
      </c>
      <c r="BW49" s="68">
        <f t="shared" si="119"/>
        <v>39.282464485603953</v>
      </c>
      <c r="BX49" s="68">
        <f t="shared" si="120"/>
        <v>5.3983467388597024</v>
      </c>
      <c r="BZ49" t="str">
        <f t="shared" si="138"/>
        <v>23 Teaching and other educational professionals</v>
      </c>
      <c r="CA49" s="17">
        <f t="shared" si="121"/>
        <v>0.81539790610300111</v>
      </c>
      <c r="CB49" s="17">
        <f t="shared" si="121"/>
        <v>0.9396510422219877</v>
      </c>
      <c r="CC49" s="17">
        <f t="shared" si="121"/>
        <v>1.1070483104880673</v>
      </c>
      <c r="CD49" s="17">
        <f t="shared" si="121"/>
        <v>1.1239336535026165</v>
      </c>
      <c r="CE49" s="17">
        <f t="shared" si="121"/>
        <v>1.3184190718783102</v>
      </c>
      <c r="CG49" s="67">
        <f t="shared" si="122"/>
        <v>-22.002786700115536</v>
      </c>
      <c r="CH49" s="68">
        <f t="shared" si="123"/>
        <v>35.122051949284419</v>
      </c>
      <c r="CI49" s="68">
        <f t="shared" si="124"/>
        <v>13.119265249168881</v>
      </c>
      <c r="CK49" t="str">
        <f t="shared" si="139"/>
        <v>23 Teaching and other educational professionals</v>
      </c>
      <c r="CL49" s="17">
        <f t="shared" si="125"/>
        <v>0.44049098474018156</v>
      </c>
      <c r="CM49" s="17">
        <f t="shared" si="125"/>
        <v>0.60346336837432335</v>
      </c>
      <c r="CN49" s="17">
        <f t="shared" si="125"/>
        <v>0.7062625840893576</v>
      </c>
      <c r="CO49" s="17">
        <f t="shared" si="125"/>
        <v>0.99434723141582326</v>
      </c>
      <c r="CP49" s="17">
        <f t="shared" si="125"/>
        <v>1.0318777775256491</v>
      </c>
      <c r="CR49" s="67">
        <f t="shared" si="126"/>
        <v>-17.699444319234917</v>
      </c>
      <c r="CS49" s="68">
        <f t="shared" si="127"/>
        <v>40.562339171689899</v>
      </c>
      <c r="CT49" s="68">
        <f t="shared" si="128"/>
        <v>22.862894852454982</v>
      </c>
    </row>
    <row r="50" spans="1:98" x14ac:dyDescent="0.2">
      <c r="A50" t="str">
        <f t="shared" si="95"/>
        <v>24 Business, media and public service professionals</v>
      </c>
      <c r="B50" s="17">
        <f t="shared" si="96"/>
        <v>6.5601788811514403</v>
      </c>
      <c r="C50" s="17">
        <f t="shared" si="96"/>
        <v>6.9705507080481528</v>
      </c>
      <c r="D50" s="17">
        <f t="shared" si="96"/>
        <v>7.1075171818132343</v>
      </c>
      <c r="E50" s="17">
        <f t="shared" si="96"/>
        <v>7.8364275489807875</v>
      </c>
      <c r="F50" s="17">
        <f t="shared" si="96"/>
        <v>8.2096273218683962</v>
      </c>
      <c r="H50" s="67">
        <f t="shared" si="129"/>
        <v>125.17127379885619</v>
      </c>
      <c r="I50" s="68">
        <f t="shared" si="130"/>
        <v>77.750255037476947</v>
      </c>
      <c r="J50" s="68">
        <f t="shared" si="131"/>
        <v>202.92152883633312</v>
      </c>
      <c r="L50" t="str">
        <f t="shared" si="132"/>
        <v>24 Business, media and public service professionals</v>
      </c>
      <c r="M50" s="17">
        <f t="shared" si="97"/>
        <v>12.662137548534123</v>
      </c>
      <c r="N50" s="17">
        <f t="shared" si="97"/>
        <v>13.307474153764835</v>
      </c>
      <c r="O50" s="17">
        <f t="shared" si="97"/>
        <v>13.906795152353016</v>
      </c>
      <c r="P50" s="17">
        <f t="shared" si="97"/>
        <v>14.297332607145277</v>
      </c>
      <c r="Q50" s="17">
        <f t="shared" si="97"/>
        <v>14.052186138466974</v>
      </c>
      <c r="S50" s="67">
        <f t="shared" si="98"/>
        <v>96.260575352324039</v>
      </c>
      <c r="T50" s="68">
        <f t="shared" si="99"/>
        <v>73.461060432377309</v>
      </c>
      <c r="U50" s="68">
        <f t="shared" si="100"/>
        <v>169.72163578470133</v>
      </c>
      <c r="W50" t="str">
        <f t="shared" si="133"/>
        <v>24 Business, media and public service professionals</v>
      </c>
      <c r="X50" s="17">
        <f t="shared" si="101"/>
        <v>11.042689786870287</v>
      </c>
      <c r="Y50" s="17">
        <f t="shared" si="101"/>
        <v>11.52684133738251</v>
      </c>
      <c r="Z50" s="17">
        <f t="shared" si="101"/>
        <v>11.972559776326278</v>
      </c>
      <c r="AA50" s="17">
        <f t="shared" si="101"/>
        <v>11.942010955467207</v>
      </c>
      <c r="AB50" s="17">
        <f t="shared" si="101"/>
        <v>10.881696972715707</v>
      </c>
      <c r="AD50" s="67">
        <f t="shared" si="102"/>
        <v>16.189987457098145</v>
      </c>
      <c r="AE50" s="68">
        <f t="shared" si="103"/>
        <v>59.028346687638013</v>
      </c>
      <c r="AF50" s="68">
        <f t="shared" si="104"/>
        <v>75.218334144736161</v>
      </c>
      <c r="AH50" t="str">
        <f t="shared" si="134"/>
        <v>24 Business, media and public service professionals</v>
      </c>
      <c r="AI50" s="17">
        <f t="shared" si="105"/>
        <v>3.8023935765231198</v>
      </c>
      <c r="AJ50" s="17">
        <f t="shared" si="105"/>
        <v>3.7711527762743238</v>
      </c>
      <c r="AK50" s="17">
        <f t="shared" si="105"/>
        <v>3.9935995408261351</v>
      </c>
      <c r="AL50" s="17">
        <f t="shared" si="105"/>
        <v>3.788416594479707</v>
      </c>
      <c r="AM50" s="17">
        <f t="shared" si="105"/>
        <v>3.4497400118397219</v>
      </c>
      <c r="AO50" s="67">
        <f t="shared" si="106"/>
        <v>0.94024767619792871</v>
      </c>
      <c r="AP50" s="68">
        <f t="shared" si="107"/>
        <v>38.85228636935431</v>
      </c>
      <c r="AQ50" s="68">
        <f t="shared" si="108"/>
        <v>39.792534045552244</v>
      </c>
      <c r="AS50" t="str">
        <f t="shared" si="135"/>
        <v>24 Business, media and public service professionals</v>
      </c>
      <c r="AT50" s="17">
        <f t="shared" si="109"/>
        <v>6.2424080205356614</v>
      </c>
      <c r="AU50" s="17">
        <f t="shared" si="109"/>
        <v>6.604474773628989</v>
      </c>
      <c r="AV50" s="17">
        <f t="shared" si="109"/>
        <v>6.97106334012825</v>
      </c>
      <c r="AW50" s="17">
        <f t="shared" si="109"/>
        <v>7.0110472917214741</v>
      </c>
      <c r="AX50" s="17">
        <f t="shared" si="109"/>
        <v>6.5410777651937977</v>
      </c>
      <c r="AZ50" s="67">
        <f t="shared" si="110"/>
        <v>17.712963514753895</v>
      </c>
      <c r="BA50" s="68">
        <f t="shared" si="111"/>
        <v>56.277463906504963</v>
      </c>
      <c r="BB50" s="68">
        <f t="shared" si="112"/>
        <v>73.990427421258872</v>
      </c>
      <c r="BD50" t="str">
        <f t="shared" si="136"/>
        <v>24 Business, media and public service professionals</v>
      </c>
      <c r="BE50" s="17">
        <f t="shared" si="113"/>
        <v>3.584451331507295</v>
      </c>
      <c r="BF50" s="17">
        <f t="shared" si="113"/>
        <v>4.067531944628489</v>
      </c>
      <c r="BG50" s="17">
        <f t="shared" si="113"/>
        <v>4.5477468091656643</v>
      </c>
      <c r="BH50" s="17">
        <f t="shared" si="113"/>
        <v>4.6954480976198285</v>
      </c>
      <c r="BI50" s="17">
        <f t="shared" si="113"/>
        <v>4.8362842225340197</v>
      </c>
      <c r="BK50" s="67">
        <f t="shared" si="114"/>
        <v>15.068015005512242</v>
      </c>
      <c r="BL50" s="68">
        <f t="shared" si="115"/>
        <v>43.381723216825939</v>
      </c>
      <c r="BM50" s="68">
        <f t="shared" si="116"/>
        <v>58.449738222338176</v>
      </c>
      <c r="BO50" t="str">
        <f t="shared" si="137"/>
        <v>24 Business, media and public service professionals</v>
      </c>
      <c r="BP50" s="17">
        <f t="shared" si="117"/>
        <v>2.4019892637500426</v>
      </c>
      <c r="BQ50" s="17">
        <f t="shared" si="117"/>
        <v>2.6496503426509359</v>
      </c>
      <c r="BR50" s="17">
        <f t="shared" si="117"/>
        <v>3.2022669124954972</v>
      </c>
      <c r="BS50" s="17">
        <f t="shared" si="117"/>
        <v>3.1414622633731404</v>
      </c>
      <c r="BT50" s="17">
        <f t="shared" si="117"/>
        <v>3.074295068995883</v>
      </c>
      <c r="BV50" s="67">
        <f t="shared" si="118"/>
        <v>-30.050617883197383</v>
      </c>
      <c r="BW50" s="68">
        <f t="shared" si="119"/>
        <v>35.497757007915943</v>
      </c>
      <c r="BX50" s="68">
        <f t="shared" si="120"/>
        <v>5.4471391247185554</v>
      </c>
      <c r="BZ50" t="str">
        <f t="shared" si="138"/>
        <v>24 Business, media and public service professionals</v>
      </c>
      <c r="CA50" s="17">
        <f t="shared" si="121"/>
        <v>2.208344800894547</v>
      </c>
      <c r="CB50" s="17">
        <f t="shared" si="121"/>
        <v>2.7355295605056229</v>
      </c>
      <c r="CC50" s="17">
        <f t="shared" si="121"/>
        <v>3.1289890410259722</v>
      </c>
      <c r="CD50" s="17">
        <f t="shared" si="121"/>
        <v>3.2563760018647985</v>
      </c>
      <c r="CE50" s="17">
        <f t="shared" si="121"/>
        <v>3.6168402539614535</v>
      </c>
      <c r="CG50" s="67">
        <f t="shared" si="122"/>
        <v>-24.296236803873537</v>
      </c>
      <c r="CH50" s="68">
        <f t="shared" si="123"/>
        <v>30.711286908574653</v>
      </c>
      <c r="CI50" s="68">
        <f t="shared" si="124"/>
        <v>6.4150501047011161</v>
      </c>
      <c r="CK50" t="str">
        <f t="shared" si="139"/>
        <v>24 Business, media and public service professionals</v>
      </c>
      <c r="CL50" s="17">
        <f t="shared" si="125"/>
        <v>1.2620212394599328</v>
      </c>
      <c r="CM50" s="17">
        <f t="shared" si="125"/>
        <v>1.8205432917619151</v>
      </c>
      <c r="CN50" s="17">
        <f t="shared" si="125"/>
        <v>2.1085051634211225</v>
      </c>
      <c r="CO50" s="17">
        <f t="shared" si="125"/>
        <v>2.674359607989973</v>
      </c>
      <c r="CP50" s="17">
        <f t="shared" si="125"/>
        <v>3.0454352910887597</v>
      </c>
      <c r="CR50" s="67">
        <f t="shared" si="126"/>
        <v>-18.639161782761487</v>
      </c>
      <c r="CS50" s="68">
        <f t="shared" si="127"/>
        <v>32.839058424277873</v>
      </c>
      <c r="CT50" s="68">
        <f t="shared" si="128"/>
        <v>14.199896641516386</v>
      </c>
    </row>
    <row r="51" spans="1:98" x14ac:dyDescent="0.2">
      <c r="A51" t="str">
        <f t="shared" si="95"/>
        <v>31 Science, engineering and technology associate professionals</v>
      </c>
      <c r="B51" s="17">
        <f t="shared" si="96"/>
        <v>2.0745380675267278</v>
      </c>
      <c r="C51" s="17">
        <f t="shared" si="96"/>
        <v>2.3927963088255404</v>
      </c>
      <c r="D51" s="17">
        <f t="shared" si="96"/>
        <v>2.7881468202466628</v>
      </c>
      <c r="E51" s="17">
        <f t="shared" si="96"/>
        <v>2.5134815149827356</v>
      </c>
      <c r="F51" s="17">
        <f t="shared" si="96"/>
        <v>2.7368834235460486</v>
      </c>
      <c r="H51" s="67">
        <f t="shared" si="129"/>
        <v>91.358659495034203</v>
      </c>
      <c r="I51" s="68">
        <f t="shared" si="130"/>
        <v>63.811922933145858</v>
      </c>
      <c r="J51" s="68">
        <f t="shared" si="131"/>
        <v>155.17058242818007</v>
      </c>
      <c r="L51" t="str">
        <f t="shared" si="132"/>
        <v>31 Science, engineering and technology associate professionals</v>
      </c>
      <c r="M51" s="17">
        <f t="shared" si="97"/>
        <v>1.8475018748861431</v>
      </c>
      <c r="N51" s="17">
        <f t="shared" si="97"/>
        <v>1.9698297405005616</v>
      </c>
      <c r="O51" s="17">
        <f t="shared" si="97"/>
        <v>2.073928696321834</v>
      </c>
      <c r="P51" s="17">
        <f t="shared" si="97"/>
        <v>1.8210894404457347</v>
      </c>
      <c r="Q51" s="17">
        <f t="shared" si="97"/>
        <v>1.836501234573416</v>
      </c>
      <c r="S51" s="67">
        <f t="shared" si="98"/>
        <v>71.994133950372628</v>
      </c>
      <c r="T51" s="68">
        <f t="shared" si="99"/>
        <v>57.084154847397116</v>
      </c>
      <c r="U51" s="68">
        <f t="shared" si="100"/>
        <v>129.07828879776974</v>
      </c>
      <c r="W51" t="str">
        <f t="shared" si="133"/>
        <v>31 Science, engineering and technology associate professionals</v>
      </c>
      <c r="X51" s="17">
        <f t="shared" si="101"/>
        <v>2.1403998882769493</v>
      </c>
      <c r="Y51" s="17">
        <f t="shared" si="101"/>
        <v>2.3684313327256858</v>
      </c>
      <c r="Z51" s="17">
        <f t="shared" si="101"/>
        <v>2.4540303526117908</v>
      </c>
      <c r="AA51" s="17">
        <f t="shared" si="101"/>
        <v>2.0579608780595593</v>
      </c>
      <c r="AB51" s="17">
        <f t="shared" si="101"/>
        <v>1.9497523051024048</v>
      </c>
      <c r="AD51" s="67">
        <f t="shared" si="102"/>
        <v>1.5683982473571672</v>
      </c>
      <c r="AE51" s="68">
        <f t="shared" si="103"/>
        <v>44.896009666054461</v>
      </c>
      <c r="AF51" s="68">
        <f t="shared" si="104"/>
        <v>46.464407913411634</v>
      </c>
      <c r="AH51" t="str">
        <f t="shared" si="134"/>
        <v>31 Science, engineering and technology associate professionals</v>
      </c>
      <c r="AI51" s="17">
        <f t="shared" si="105"/>
        <v>1.2596460211950438</v>
      </c>
      <c r="AJ51" s="17">
        <f t="shared" si="105"/>
        <v>1.6880796092733523</v>
      </c>
      <c r="AK51" s="17">
        <f t="shared" si="105"/>
        <v>1.6424683218154743</v>
      </c>
      <c r="AL51" s="17">
        <f t="shared" si="105"/>
        <v>1.6341263694894768</v>
      </c>
      <c r="AM51" s="17">
        <f t="shared" si="105"/>
        <v>1.8760841180793804</v>
      </c>
      <c r="AO51" s="67">
        <f t="shared" si="106"/>
        <v>33.474351272303949</v>
      </c>
      <c r="AP51" s="68">
        <f t="shared" si="107"/>
        <v>54.656678266250694</v>
      </c>
      <c r="AQ51" s="68">
        <f t="shared" si="108"/>
        <v>88.131029538554628</v>
      </c>
      <c r="AS51" t="str">
        <f t="shared" si="135"/>
        <v>31 Science, engineering and technology associate professionals</v>
      </c>
      <c r="AT51" s="17">
        <f t="shared" si="109"/>
        <v>3.587680778103433</v>
      </c>
      <c r="AU51" s="17">
        <f t="shared" si="109"/>
        <v>3.8748961478934767</v>
      </c>
      <c r="AV51" s="17">
        <f t="shared" si="109"/>
        <v>3.7525756712069542</v>
      </c>
      <c r="AW51" s="17">
        <f t="shared" si="109"/>
        <v>2.9121520598318904</v>
      </c>
      <c r="AX51" s="17">
        <f t="shared" si="109"/>
        <v>2.4688161703737297</v>
      </c>
      <c r="AZ51" s="67">
        <f t="shared" si="110"/>
        <v>-17.465921890397297</v>
      </c>
      <c r="BA51" s="68">
        <f t="shared" si="111"/>
        <v>34.561490347121378</v>
      </c>
      <c r="BB51" s="68">
        <f t="shared" si="112"/>
        <v>17.095568456724081</v>
      </c>
      <c r="BD51" t="str">
        <f t="shared" si="136"/>
        <v>31 Science, engineering and technology associate professionals</v>
      </c>
      <c r="BE51" s="17">
        <f t="shared" si="113"/>
        <v>1.4308496996823101</v>
      </c>
      <c r="BF51" s="17">
        <f t="shared" si="113"/>
        <v>1.4803929891924634</v>
      </c>
      <c r="BG51" s="17">
        <f t="shared" si="113"/>
        <v>1.7207773725894258</v>
      </c>
      <c r="BH51" s="17">
        <f t="shared" si="113"/>
        <v>1.2373666386255979</v>
      </c>
      <c r="BI51" s="17">
        <f t="shared" si="113"/>
        <v>0.94659479492261844</v>
      </c>
      <c r="BK51" s="67">
        <f t="shared" si="114"/>
        <v>-40.477863887304935</v>
      </c>
      <c r="BL51" s="68">
        <f t="shared" si="115"/>
        <v>24.108746719923733</v>
      </c>
      <c r="BM51" s="68">
        <f t="shared" si="116"/>
        <v>-16.369117167381198</v>
      </c>
      <c r="BO51" t="str">
        <f t="shared" si="137"/>
        <v>31 Science, engineering and technology associate professionals</v>
      </c>
      <c r="BP51" s="17">
        <f t="shared" si="117"/>
        <v>0.99308128361152381</v>
      </c>
      <c r="BQ51" s="17">
        <f t="shared" si="117"/>
        <v>1.1474805043219267</v>
      </c>
      <c r="BR51" s="17">
        <f t="shared" si="117"/>
        <v>1.393899994720792</v>
      </c>
      <c r="BS51" s="17">
        <f t="shared" si="117"/>
        <v>1.1374163719388106</v>
      </c>
      <c r="BT51" s="17">
        <f t="shared" si="117"/>
        <v>1.2598190490857843</v>
      </c>
      <c r="BV51" s="67">
        <f t="shared" si="118"/>
        <v>-34.147477333532152</v>
      </c>
      <c r="BW51" s="68">
        <f t="shared" si="119"/>
        <v>29.362793939523314</v>
      </c>
      <c r="BX51" s="68">
        <f t="shared" si="120"/>
        <v>-4.78468339400884</v>
      </c>
      <c r="BZ51" t="str">
        <f t="shared" si="138"/>
        <v>31 Science, engineering and technology associate professionals</v>
      </c>
      <c r="CA51" s="17">
        <f t="shared" si="121"/>
        <v>1.1894200687050094</v>
      </c>
      <c r="CB51" s="17">
        <f t="shared" si="121"/>
        <v>1.4944408676210899</v>
      </c>
      <c r="CC51" s="17">
        <f t="shared" si="121"/>
        <v>1.7907017316281293</v>
      </c>
      <c r="CD51" s="17">
        <f t="shared" si="121"/>
        <v>1.5897408190817426</v>
      </c>
      <c r="CE51" s="17">
        <f t="shared" si="121"/>
        <v>1.9940192702783848</v>
      </c>
      <c r="CG51" s="67">
        <f t="shared" si="122"/>
        <v>-27.071332158384909</v>
      </c>
      <c r="CH51" s="68">
        <f t="shared" si="123"/>
        <v>26.050309631074132</v>
      </c>
      <c r="CI51" s="68">
        <f t="shared" si="124"/>
        <v>-1.0210225273107802</v>
      </c>
      <c r="CK51" t="str">
        <f t="shared" si="139"/>
        <v>31 Science, engineering and technology associate professionals</v>
      </c>
      <c r="CL51" s="17">
        <f t="shared" si="125"/>
        <v>0.65143618037895112</v>
      </c>
      <c r="CM51" s="17">
        <f t="shared" si="125"/>
        <v>0.9795260220641141</v>
      </c>
      <c r="CN51" s="17">
        <f t="shared" si="125"/>
        <v>1.1468523350136741</v>
      </c>
      <c r="CO51" s="17">
        <f t="shared" si="125"/>
        <v>1.5091672065594106</v>
      </c>
      <c r="CP51" s="17">
        <f t="shared" si="125"/>
        <v>2.3907523596191407</v>
      </c>
      <c r="CR51" s="67">
        <f t="shared" si="126"/>
        <v>17.426954352214175</v>
      </c>
      <c r="CS51" s="68">
        <f t="shared" si="127"/>
        <v>40.844396404294763</v>
      </c>
      <c r="CT51" s="68">
        <f t="shared" si="128"/>
        <v>58.27135075650893</v>
      </c>
    </row>
    <row r="52" spans="1:98" x14ac:dyDescent="0.2">
      <c r="A52" t="str">
        <f t="shared" si="95"/>
        <v>32 Health and social care associate professionals</v>
      </c>
      <c r="B52" s="17">
        <f t="shared" si="96"/>
        <v>0.69927579355873648</v>
      </c>
      <c r="C52" s="17">
        <f t="shared" si="96"/>
        <v>0.70231951201363108</v>
      </c>
      <c r="D52" s="17">
        <f t="shared" si="96"/>
        <v>0.60861938202852384</v>
      </c>
      <c r="E52" s="17">
        <f t="shared" si="96"/>
        <v>0.65840450836109154</v>
      </c>
      <c r="F52" s="17">
        <f t="shared" si="96"/>
        <v>0.78276662189168278</v>
      </c>
      <c r="H52" s="67">
        <f t="shared" si="129"/>
        <v>150.7228870548021</v>
      </c>
      <c r="I52" s="68">
        <f t="shared" si="130"/>
        <v>101.42508376183028</v>
      </c>
      <c r="J52" s="68">
        <f t="shared" si="131"/>
        <v>252.14797081663235</v>
      </c>
      <c r="L52" t="str">
        <f t="shared" si="132"/>
        <v>32 Health and social care associate professionals</v>
      </c>
      <c r="M52" s="17">
        <f t="shared" si="97"/>
        <v>2.0304766621556936</v>
      </c>
      <c r="N52" s="17">
        <f t="shared" si="97"/>
        <v>2.0083071494062268</v>
      </c>
      <c r="O52" s="17">
        <f t="shared" si="97"/>
        <v>1.9895755081688185</v>
      </c>
      <c r="P52" s="17">
        <f t="shared" si="97"/>
        <v>1.9945328779113758</v>
      </c>
      <c r="Q52" s="17">
        <f t="shared" si="97"/>
        <v>2.2665951821734542</v>
      </c>
      <c r="S52" s="67">
        <f t="shared" si="98"/>
        <v>121.27368398918472</v>
      </c>
      <c r="T52" s="68">
        <f t="shared" si="99"/>
        <v>91.103126663660944</v>
      </c>
      <c r="U52" s="68">
        <f t="shared" si="100"/>
        <v>212.37681065284568</v>
      </c>
      <c r="W52" t="str">
        <f t="shared" si="133"/>
        <v>32 Health and social care associate professionals</v>
      </c>
      <c r="X52" s="17">
        <f t="shared" si="101"/>
        <v>3.0537716123774263</v>
      </c>
      <c r="Y52" s="17">
        <f t="shared" si="101"/>
        <v>3.0333313309960159</v>
      </c>
      <c r="Z52" s="17">
        <f t="shared" si="101"/>
        <v>3.0553905831901047</v>
      </c>
      <c r="AA52" s="17">
        <f t="shared" si="101"/>
        <v>3.1431241472420037</v>
      </c>
      <c r="AB52" s="17">
        <f t="shared" si="101"/>
        <v>3.3929371292955612</v>
      </c>
      <c r="AD52" s="67">
        <f t="shared" si="102"/>
        <v>41.960711596423153</v>
      </c>
      <c r="AE52" s="68">
        <f t="shared" si="103"/>
        <v>79.671094574278399</v>
      </c>
      <c r="AF52" s="68">
        <f t="shared" si="104"/>
        <v>121.63180617070155</v>
      </c>
      <c r="AH52" t="str">
        <f t="shared" si="134"/>
        <v>32 Health and social care associate professionals</v>
      </c>
      <c r="AI52" s="17">
        <f t="shared" si="105"/>
        <v>6.7167291380831733</v>
      </c>
      <c r="AJ52" s="17">
        <f t="shared" si="105"/>
        <v>5.7181494365325456</v>
      </c>
      <c r="AK52" s="17">
        <f t="shared" si="105"/>
        <v>5.4308335864284984</v>
      </c>
      <c r="AL52" s="17">
        <f t="shared" si="105"/>
        <v>4.0740117252429222</v>
      </c>
      <c r="AM52" s="17">
        <f t="shared" si="105"/>
        <v>2.3462890444183384</v>
      </c>
      <c r="AO52" s="67">
        <f t="shared" si="106"/>
        <v>-49.515561368340862</v>
      </c>
      <c r="AP52" s="68">
        <f t="shared" si="107"/>
        <v>32.258562841584428</v>
      </c>
      <c r="AQ52" s="68">
        <f t="shared" si="108"/>
        <v>-17.25699852675643</v>
      </c>
      <c r="AS52" t="str">
        <f t="shared" si="135"/>
        <v>32 Health and social care associate professionals</v>
      </c>
      <c r="AT52" s="17">
        <f t="shared" si="109"/>
        <v>1.6421485995410778</v>
      </c>
      <c r="AU52" s="17">
        <f t="shared" si="109"/>
        <v>1.6806669813030375</v>
      </c>
      <c r="AV52" s="17">
        <f t="shared" si="109"/>
        <v>1.8180809691059525</v>
      </c>
      <c r="AW52" s="17">
        <f t="shared" si="109"/>
        <v>1.7028596277926515</v>
      </c>
      <c r="AX52" s="17">
        <f t="shared" si="109"/>
        <v>1.7014982530311407</v>
      </c>
      <c r="AZ52" s="67">
        <f t="shared" si="110"/>
        <v>17.406541948843536</v>
      </c>
      <c r="BA52" s="68">
        <f t="shared" si="111"/>
        <v>64.195752283577406</v>
      </c>
      <c r="BB52" s="68">
        <f t="shared" si="112"/>
        <v>81.602294232420945</v>
      </c>
      <c r="BD52" t="str">
        <f t="shared" si="136"/>
        <v>32 Health and social care associate professionals</v>
      </c>
      <c r="BE52" s="17">
        <f t="shared" si="113"/>
        <v>1.4390929846730824</v>
      </c>
      <c r="BF52" s="17">
        <f t="shared" si="113"/>
        <v>1.7742294946273547</v>
      </c>
      <c r="BG52" s="17">
        <f t="shared" si="113"/>
        <v>1.8554666706084122</v>
      </c>
      <c r="BH52" s="17">
        <f t="shared" si="113"/>
        <v>1.904178642745922</v>
      </c>
      <c r="BI52" s="17">
        <f t="shared" si="113"/>
        <v>2.1506875364939173</v>
      </c>
      <c r="BK52" s="67">
        <f t="shared" si="114"/>
        <v>25.418974078966254</v>
      </c>
      <c r="BL52" s="68">
        <f t="shared" si="115"/>
        <v>60.095440797619524</v>
      </c>
      <c r="BM52" s="68">
        <f t="shared" si="116"/>
        <v>85.514414876585775</v>
      </c>
      <c r="BO52" t="str">
        <f t="shared" si="137"/>
        <v>32 Health and social care associate professionals</v>
      </c>
      <c r="BP52" s="17">
        <f t="shared" si="117"/>
        <v>1.2839801193883276</v>
      </c>
      <c r="BQ52" s="17">
        <f t="shared" si="117"/>
        <v>1.5296085733737874</v>
      </c>
      <c r="BR52" s="17">
        <f t="shared" si="117"/>
        <v>1.4713691817040222</v>
      </c>
      <c r="BS52" s="17">
        <f t="shared" si="117"/>
        <v>1.4326209393097766</v>
      </c>
      <c r="BT52" s="17">
        <f t="shared" si="117"/>
        <v>1.3818913562803372</v>
      </c>
      <c r="BV52" s="67">
        <f t="shared" si="118"/>
        <v>-31.569753078977541</v>
      </c>
      <c r="BW52" s="68">
        <f t="shared" si="119"/>
        <v>44.438045527573621</v>
      </c>
      <c r="BX52" s="68">
        <f t="shared" si="120"/>
        <v>12.86829244859608</v>
      </c>
      <c r="BZ52" t="str">
        <f t="shared" si="138"/>
        <v>32 Health and social care associate professionals</v>
      </c>
      <c r="CA52" s="17">
        <f t="shared" si="121"/>
        <v>0.72957875731368249</v>
      </c>
      <c r="CB52" s="17">
        <f t="shared" si="121"/>
        <v>0.70526141278549659</v>
      </c>
      <c r="CC52" s="17">
        <f t="shared" si="121"/>
        <v>0.73212735536300622</v>
      </c>
      <c r="CD52" s="17">
        <f t="shared" si="121"/>
        <v>0.68778804614510436</v>
      </c>
      <c r="CE52" s="17">
        <f t="shared" si="121"/>
        <v>0.71471889020181234</v>
      </c>
      <c r="CG52" s="67">
        <f t="shared" si="122"/>
        <v>-36.064684939191046</v>
      </c>
      <c r="CH52" s="68">
        <f t="shared" si="123"/>
        <v>30.818784632719655</v>
      </c>
      <c r="CI52" s="68">
        <f t="shared" si="124"/>
        <v>-5.2459003064713894</v>
      </c>
      <c r="CK52" t="str">
        <f t="shared" si="139"/>
        <v>32 Health and social care associate professionals</v>
      </c>
      <c r="CL52" s="17">
        <f t="shared" si="125"/>
        <v>0.27527922962129009</v>
      </c>
      <c r="CM52" s="17">
        <f t="shared" si="125"/>
        <v>0.30073345176266647</v>
      </c>
      <c r="CN52" s="17">
        <f t="shared" si="125"/>
        <v>0.35518739802062477</v>
      </c>
      <c r="CO52" s="17">
        <f t="shared" si="125"/>
        <v>0.50679311078718126</v>
      </c>
      <c r="CP52" s="17">
        <f t="shared" si="125"/>
        <v>0.83693209014254444</v>
      </c>
      <c r="CR52" s="67">
        <f t="shared" si="126"/>
        <v>32.731309310628731</v>
      </c>
      <c r="CS52" s="68">
        <f t="shared" si="127"/>
        <v>51.35512975909198</v>
      </c>
      <c r="CT52" s="68">
        <f t="shared" si="128"/>
        <v>84.086439069720726</v>
      </c>
    </row>
    <row r="53" spans="1:98" x14ac:dyDescent="0.2">
      <c r="A53" t="str">
        <f t="shared" si="95"/>
        <v>33 Protective service occupations</v>
      </c>
      <c r="B53" s="17">
        <f t="shared" si="96"/>
        <v>0.18241065712611024</v>
      </c>
      <c r="C53" s="17">
        <f t="shared" si="96"/>
        <v>0.16247967849533301</v>
      </c>
      <c r="D53" s="17">
        <f t="shared" si="96"/>
        <v>0.17588872612773468</v>
      </c>
      <c r="E53" s="17">
        <f t="shared" si="96"/>
        <v>0.24001791525447633</v>
      </c>
      <c r="F53" s="17">
        <f t="shared" si="96"/>
        <v>0.28535572952119898</v>
      </c>
      <c r="H53" s="67">
        <f t="shared" si="129"/>
        <v>216.26858362184453</v>
      </c>
      <c r="I53" s="68">
        <f t="shared" si="130"/>
        <v>68.106680857557606</v>
      </c>
      <c r="J53" s="68">
        <f t="shared" si="131"/>
        <v>284.37526447940218</v>
      </c>
      <c r="L53" t="str">
        <f t="shared" si="132"/>
        <v>33 Protective service occupations</v>
      </c>
      <c r="M53" s="17">
        <f t="shared" si="97"/>
        <v>0.39523300172960729</v>
      </c>
      <c r="N53" s="17">
        <f t="shared" si="97"/>
        <v>0.37449069938896962</v>
      </c>
      <c r="O53" s="17">
        <f t="shared" si="97"/>
        <v>0.38539710588010523</v>
      </c>
      <c r="P53" s="17">
        <f t="shared" si="97"/>
        <v>0.49484367489201453</v>
      </c>
      <c r="Q53" s="17">
        <f t="shared" si="97"/>
        <v>0.59776623559085429</v>
      </c>
      <c r="S53" s="67">
        <f t="shared" si="98"/>
        <v>201.2583983583414</v>
      </c>
      <c r="T53" s="68">
        <f t="shared" si="99"/>
        <v>62.375665779977965</v>
      </c>
      <c r="U53" s="68">
        <f t="shared" si="100"/>
        <v>263.63406413831939</v>
      </c>
      <c r="W53" t="str">
        <f t="shared" si="133"/>
        <v>33 Protective service occupations</v>
      </c>
      <c r="X53" s="17">
        <f t="shared" si="101"/>
        <v>0.80978255150184297</v>
      </c>
      <c r="Y53" s="17">
        <f t="shared" si="101"/>
        <v>0.84486810248303479</v>
      </c>
      <c r="Z53" s="17">
        <f t="shared" si="101"/>
        <v>0.89792842366300474</v>
      </c>
      <c r="AA53" s="17">
        <f t="shared" si="101"/>
        <v>1.1185037590677511</v>
      </c>
      <c r="AB53" s="17">
        <f t="shared" si="101"/>
        <v>1.3326412575827953</v>
      </c>
      <c r="AD53" s="67">
        <f t="shared" si="102"/>
        <v>89.727649543833763</v>
      </c>
      <c r="AE53" s="68">
        <f t="shared" si="103"/>
        <v>65.050891839818718</v>
      </c>
      <c r="AF53" s="68">
        <f t="shared" si="104"/>
        <v>154.77854138365248</v>
      </c>
      <c r="AH53" t="str">
        <f t="shared" si="134"/>
        <v>33 Protective service occupations</v>
      </c>
      <c r="AI53" s="17">
        <f t="shared" si="105"/>
        <v>0.69876445784532404</v>
      </c>
      <c r="AJ53" s="17">
        <f t="shared" si="105"/>
        <v>0.80673028645360034</v>
      </c>
      <c r="AK53" s="17">
        <f t="shared" si="105"/>
        <v>0.86112376993519502</v>
      </c>
      <c r="AL53" s="17">
        <f t="shared" si="105"/>
        <v>1.1373292022396679</v>
      </c>
      <c r="AM53" s="17">
        <f t="shared" si="105"/>
        <v>1.3866487042302988</v>
      </c>
      <c r="AO53" s="67">
        <f t="shared" si="106"/>
        <v>88.166967826490733</v>
      </c>
      <c r="AP53" s="68">
        <f t="shared" si="107"/>
        <v>57.55858752992539</v>
      </c>
      <c r="AQ53" s="68">
        <f t="shared" si="108"/>
        <v>145.72555535641612</v>
      </c>
      <c r="AS53" t="str">
        <f t="shared" si="135"/>
        <v>33 Protective service occupations</v>
      </c>
      <c r="AT53" s="17">
        <f t="shared" si="109"/>
        <v>0.7034760071499333</v>
      </c>
      <c r="AU53" s="17">
        <f t="shared" si="109"/>
        <v>0.64648538698646929</v>
      </c>
      <c r="AV53" s="17">
        <f t="shared" si="109"/>
        <v>0.68208863545934262</v>
      </c>
      <c r="AW53" s="17">
        <f t="shared" si="109"/>
        <v>0.72608883892270182</v>
      </c>
      <c r="AX53" s="17">
        <f t="shared" si="109"/>
        <v>0.69848345762503461</v>
      </c>
      <c r="AZ53" s="67">
        <f t="shared" si="110"/>
        <v>28.466331162563812</v>
      </c>
      <c r="BA53" s="68">
        <f t="shared" si="111"/>
        <v>44.208789862293422</v>
      </c>
      <c r="BB53" s="68">
        <f t="shared" si="112"/>
        <v>72.675121024857233</v>
      </c>
      <c r="BD53" t="str">
        <f t="shared" si="136"/>
        <v>33 Protective service occupations</v>
      </c>
      <c r="BE53" s="17">
        <f t="shared" si="113"/>
        <v>0.68388842871067179</v>
      </c>
      <c r="BF53" s="17">
        <f t="shared" si="113"/>
        <v>0.62193950928398134</v>
      </c>
      <c r="BG53" s="17">
        <f t="shared" si="113"/>
        <v>0.67805128150384386</v>
      </c>
      <c r="BH53" s="17">
        <f t="shared" si="113"/>
        <v>0.75211256191532205</v>
      </c>
      <c r="BI53" s="17">
        <f t="shared" si="113"/>
        <v>0.71823646883285386</v>
      </c>
      <c r="BK53" s="67">
        <f t="shared" si="114"/>
        <v>14.615669348385346</v>
      </c>
      <c r="BL53" s="68">
        <f t="shared" si="115"/>
        <v>26.936466142720285</v>
      </c>
      <c r="BM53" s="68">
        <f t="shared" si="116"/>
        <v>41.552135491105631</v>
      </c>
      <c r="BO53" t="str">
        <f t="shared" si="137"/>
        <v>33 Protective service occupations</v>
      </c>
      <c r="BP53" s="17">
        <f t="shared" si="117"/>
        <v>0.74632063971323759</v>
      </c>
      <c r="BQ53" s="17">
        <f t="shared" si="117"/>
        <v>0.74785628661158587</v>
      </c>
      <c r="BR53" s="17">
        <f t="shared" si="117"/>
        <v>0.85970030880144299</v>
      </c>
      <c r="BS53" s="17">
        <f t="shared" si="117"/>
        <v>0.95370163903820315</v>
      </c>
      <c r="BT53" s="17">
        <f t="shared" si="117"/>
        <v>0.88289777595283481</v>
      </c>
      <c r="BV53" s="67">
        <f t="shared" si="118"/>
        <v>-25.172850347316594</v>
      </c>
      <c r="BW53" s="68">
        <f t="shared" si="119"/>
        <v>28.587756146779931</v>
      </c>
      <c r="BX53" s="68">
        <f t="shared" si="120"/>
        <v>3.4149057994633387</v>
      </c>
      <c r="BZ53" t="str">
        <f t="shared" si="138"/>
        <v>33 Protective service occupations</v>
      </c>
      <c r="CA53" s="17">
        <f t="shared" si="121"/>
        <v>0.63480906722962416</v>
      </c>
      <c r="CB53" s="17">
        <f t="shared" si="121"/>
        <v>0.69449652596441314</v>
      </c>
      <c r="CC53" s="17">
        <f t="shared" si="121"/>
        <v>0.771432996819026</v>
      </c>
      <c r="CD53" s="17">
        <f t="shared" si="121"/>
        <v>0.9745576916238291</v>
      </c>
      <c r="CE53" s="17">
        <f t="shared" si="121"/>
        <v>1.4093338906981734</v>
      </c>
      <c r="CG53" s="67">
        <f t="shared" si="122"/>
        <v>19.648667844304025</v>
      </c>
      <c r="CH53" s="68">
        <f t="shared" si="123"/>
        <v>35.291653214213923</v>
      </c>
      <c r="CI53" s="68">
        <f t="shared" si="124"/>
        <v>54.940321058517952</v>
      </c>
      <c r="CK53" t="str">
        <f t="shared" si="139"/>
        <v>33 Protective service occupations</v>
      </c>
      <c r="CL53" s="17">
        <f t="shared" si="125"/>
        <v>0.26853552073721298</v>
      </c>
      <c r="CM53" s="17">
        <f t="shared" si="125"/>
        <v>0.26476757358520725</v>
      </c>
      <c r="CN53" s="17">
        <f t="shared" si="125"/>
        <v>0.31803246098603111</v>
      </c>
      <c r="CO53" s="17">
        <f t="shared" si="125"/>
        <v>0.32320181207786036</v>
      </c>
      <c r="CP53" s="17">
        <f t="shared" si="125"/>
        <v>0.45707956181403697</v>
      </c>
      <c r="CR53" s="67">
        <f t="shared" si="126"/>
        <v>-19.041759762317369</v>
      </c>
      <c r="CS53" s="68">
        <f t="shared" si="127"/>
        <v>17.647404198212762</v>
      </c>
      <c r="CT53" s="68">
        <f t="shared" si="128"/>
        <v>-1.3943555641046075</v>
      </c>
    </row>
    <row r="54" spans="1:98" x14ac:dyDescent="0.2">
      <c r="A54" t="str">
        <f t="shared" si="95"/>
        <v>34 Culture, media and sports occupations</v>
      </c>
      <c r="B54" s="17">
        <f t="shared" si="96"/>
        <v>1.4277749837017764</v>
      </c>
      <c r="C54" s="17">
        <f t="shared" si="96"/>
        <v>1.8136274645462098</v>
      </c>
      <c r="D54" s="17">
        <f t="shared" si="96"/>
        <v>1.7570577035547104</v>
      </c>
      <c r="E54" s="17">
        <f t="shared" si="96"/>
        <v>1.6585216393084925</v>
      </c>
      <c r="F54" s="17">
        <f t="shared" si="96"/>
        <v>1.709212843488555</v>
      </c>
      <c r="H54" s="67">
        <f t="shared" si="129"/>
        <v>89.634601505216111</v>
      </c>
      <c r="I54" s="68">
        <f t="shared" si="130"/>
        <v>76.420086129388523</v>
      </c>
      <c r="J54" s="68">
        <f t="shared" si="131"/>
        <v>166.05468763460465</v>
      </c>
      <c r="L54" t="str">
        <f t="shared" si="132"/>
        <v>34 Culture, media and sports occupations</v>
      </c>
      <c r="M54" s="17">
        <f t="shared" si="97"/>
        <v>3.7624548513214466</v>
      </c>
      <c r="N54" s="17">
        <f t="shared" si="97"/>
        <v>3.9120889423997904</v>
      </c>
      <c r="O54" s="17">
        <f t="shared" si="97"/>
        <v>3.9636465458177428</v>
      </c>
      <c r="P54" s="17">
        <f t="shared" si="97"/>
        <v>3.8708305198584161</v>
      </c>
      <c r="Q54" s="17">
        <f t="shared" si="97"/>
        <v>3.9549286811101854</v>
      </c>
      <c r="S54" s="67">
        <f t="shared" si="98"/>
        <v>93.80276453032991</v>
      </c>
      <c r="T54" s="68">
        <f t="shared" si="99"/>
        <v>75.773521814654217</v>
      </c>
      <c r="U54" s="68">
        <f t="shared" si="100"/>
        <v>169.57628634498414</v>
      </c>
      <c r="W54" t="str">
        <f t="shared" si="133"/>
        <v>34 Culture, media and sports occupations</v>
      </c>
      <c r="X54" s="17">
        <f t="shared" si="101"/>
        <v>4.1690479603552575</v>
      </c>
      <c r="Y54" s="17">
        <f t="shared" si="101"/>
        <v>4.0874538152891953</v>
      </c>
      <c r="Z54" s="17">
        <f t="shared" si="101"/>
        <v>3.92904116625441</v>
      </c>
      <c r="AA54" s="17">
        <f t="shared" si="101"/>
        <v>3.7201618009127109</v>
      </c>
      <c r="AB54" s="17">
        <f t="shared" si="101"/>
        <v>3.538562186423567</v>
      </c>
      <c r="AD54" s="67">
        <f t="shared" si="102"/>
        <v>15.132873578261844</v>
      </c>
      <c r="AE54" s="68">
        <f t="shared" si="103"/>
        <v>55.675260594364481</v>
      </c>
      <c r="AF54" s="68">
        <f t="shared" si="104"/>
        <v>70.808134172626325</v>
      </c>
      <c r="AH54" t="str">
        <f t="shared" si="134"/>
        <v>34 Culture, media and sports occupations</v>
      </c>
      <c r="AI54" s="17">
        <f t="shared" si="105"/>
        <v>1.5264772230750625</v>
      </c>
      <c r="AJ54" s="17">
        <f t="shared" si="105"/>
        <v>1.5646730340983013</v>
      </c>
      <c r="AK54" s="17">
        <f t="shared" si="105"/>
        <v>1.8296220654655768</v>
      </c>
      <c r="AL54" s="17">
        <f t="shared" si="105"/>
        <v>1.8441747424761619</v>
      </c>
      <c r="AM54" s="17">
        <f t="shared" si="105"/>
        <v>2.0526374071888056</v>
      </c>
      <c r="AO54" s="67">
        <f t="shared" si="106"/>
        <v>31.097184229448743</v>
      </c>
      <c r="AP54" s="68">
        <f t="shared" si="107"/>
        <v>57.986050928848421</v>
      </c>
      <c r="AQ54" s="68">
        <f t="shared" si="108"/>
        <v>89.083235158297143</v>
      </c>
      <c r="AS54" t="str">
        <f t="shared" si="135"/>
        <v>34 Culture, media and sports occupations</v>
      </c>
      <c r="AT54" s="17">
        <f t="shared" si="109"/>
        <v>2.5244276755740431</v>
      </c>
      <c r="AU54" s="17">
        <f t="shared" si="109"/>
        <v>2.4189038564530021</v>
      </c>
      <c r="AV54" s="17">
        <f t="shared" si="109"/>
        <v>2.3240580022832935</v>
      </c>
      <c r="AW54" s="17">
        <f t="shared" si="109"/>
        <v>2.1081138008750222</v>
      </c>
      <c r="AX54" s="17">
        <f t="shared" si="109"/>
        <v>1.8990852838521337</v>
      </c>
      <c r="AZ54" s="67">
        <f t="shared" si="110"/>
        <v>2.5112468045206344</v>
      </c>
      <c r="BA54" s="68">
        <f t="shared" si="111"/>
        <v>49.633469953828843</v>
      </c>
      <c r="BB54" s="68">
        <f t="shared" si="112"/>
        <v>52.144716758349475</v>
      </c>
      <c r="BD54" t="str">
        <f t="shared" si="136"/>
        <v>34 Culture, media and sports occupations</v>
      </c>
      <c r="BE54" s="17">
        <f t="shared" si="113"/>
        <v>1.5912653856818753</v>
      </c>
      <c r="BF54" s="17">
        <f t="shared" si="113"/>
        <v>1.5742407736450574</v>
      </c>
      <c r="BG54" s="17">
        <f t="shared" si="113"/>
        <v>1.5398075475706374</v>
      </c>
      <c r="BH54" s="17">
        <f t="shared" si="113"/>
        <v>1.4435904518916922</v>
      </c>
      <c r="BI54" s="17">
        <f t="shared" si="113"/>
        <v>1.5078225696452867</v>
      </c>
      <c r="BK54" s="67">
        <f t="shared" si="114"/>
        <v>5.9553471867414549</v>
      </c>
      <c r="BL54" s="68">
        <f t="shared" si="115"/>
        <v>39.093390208126493</v>
      </c>
      <c r="BM54" s="68">
        <f t="shared" si="116"/>
        <v>45.048737394867942</v>
      </c>
      <c r="BO54" t="str">
        <f t="shared" si="137"/>
        <v>34 Culture, media and sports occupations</v>
      </c>
      <c r="BP54" s="17">
        <f t="shared" si="117"/>
        <v>0.87033820087630742</v>
      </c>
      <c r="BQ54" s="17">
        <f t="shared" si="117"/>
        <v>0.85677114134402477</v>
      </c>
      <c r="BR54" s="17">
        <f t="shared" si="117"/>
        <v>0.78424660820736403</v>
      </c>
      <c r="BS54" s="17">
        <f t="shared" si="117"/>
        <v>0.63946013341514751</v>
      </c>
      <c r="BT54" s="17">
        <f t="shared" si="117"/>
        <v>0.44512768661782454</v>
      </c>
      <c r="BV54" s="67">
        <f t="shared" si="118"/>
        <v>-58.645019444970679</v>
      </c>
      <c r="BW54" s="68">
        <f t="shared" si="119"/>
        <v>25.679818663674741</v>
      </c>
      <c r="BX54" s="68">
        <f t="shared" si="120"/>
        <v>-32.965200781295941</v>
      </c>
      <c r="BZ54" t="str">
        <f t="shared" si="138"/>
        <v>34 Culture, media and sports occupations</v>
      </c>
      <c r="CA54" s="17">
        <f t="shared" si="121"/>
        <v>1.0354191241525277</v>
      </c>
      <c r="CB54" s="17">
        <f t="shared" si="121"/>
        <v>1.1186736529878738</v>
      </c>
      <c r="CC54" s="17">
        <f t="shared" si="121"/>
        <v>1.1178291521749248</v>
      </c>
      <c r="CD54" s="17">
        <f t="shared" si="121"/>
        <v>1.0216344273297671</v>
      </c>
      <c r="CE54" s="17">
        <f t="shared" si="121"/>
        <v>1.1198847457476915</v>
      </c>
      <c r="CG54" s="67">
        <f t="shared" si="122"/>
        <v>-34.386972001117016</v>
      </c>
      <c r="CH54" s="68">
        <f t="shared" si="123"/>
        <v>27.462246369223266</v>
      </c>
      <c r="CI54" s="68">
        <f t="shared" si="124"/>
        <v>-6.9247256318937547</v>
      </c>
      <c r="CK54" t="str">
        <f t="shared" si="139"/>
        <v>34 Culture, media and sports occupations</v>
      </c>
      <c r="CL54" s="17">
        <f t="shared" si="125"/>
        <v>0.70200506663352513</v>
      </c>
      <c r="CM54" s="17">
        <f t="shared" si="125"/>
        <v>0.99142630246176178</v>
      </c>
      <c r="CN54" s="17">
        <f t="shared" si="125"/>
        <v>0.99161443515872782</v>
      </c>
      <c r="CO54" s="17">
        <f t="shared" si="125"/>
        <v>1.1697907787770181</v>
      </c>
      <c r="CP54" s="17">
        <f t="shared" si="125"/>
        <v>1.2805093433414121</v>
      </c>
      <c r="CR54" s="67">
        <f t="shared" si="126"/>
        <v>-27.258773678381715</v>
      </c>
      <c r="CS54" s="68">
        <f t="shared" si="127"/>
        <v>29.162030895453313</v>
      </c>
      <c r="CT54" s="68">
        <f t="shared" si="128"/>
        <v>1.9032572170715985</v>
      </c>
    </row>
    <row r="55" spans="1:98" x14ac:dyDescent="0.2">
      <c r="A55" t="str">
        <f t="shared" si="95"/>
        <v>35 Business and public service associate professionals</v>
      </c>
      <c r="B55" s="17">
        <f t="shared" ref="B55:F64" si="140">B18/B$35*100</f>
        <v>4.8291288683338127</v>
      </c>
      <c r="C55" s="17">
        <f t="shared" si="140"/>
        <v>4.7801157443789428</v>
      </c>
      <c r="D55" s="17">
        <f t="shared" si="140"/>
        <v>4.6684524529043721</v>
      </c>
      <c r="E55" s="17">
        <f t="shared" si="140"/>
        <v>4.6473043543272023</v>
      </c>
      <c r="F55" s="17">
        <f t="shared" si="140"/>
        <v>4.863812651567418</v>
      </c>
      <c r="H55" s="67">
        <f t="shared" si="129"/>
        <v>103.10067103947011</v>
      </c>
      <c r="I55" s="68">
        <f t="shared" si="130"/>
        <v>69.974852835494147</v>
      </c>
      <c r="J55" s="68">
        <f t="shared" si="131"/>
        <v>173.07552387496426</v>
      </c>
      <c r="L55" t="str">
        <f t="shared" si="132"/>
        <v>35 Business and public service associate professionals</v>
      </c>
      <c r="M55" s="17">
        <f t="shared" ref="M55:Q64" si="141">M18/M$35*100</f>
        <v>7.5355989962372627</v>
      </c>
      <c r="N55" s="17">
        <f t="shared" si="141"/>
        <v>7.4194266977902572</v>
      </c>
      <c r="O55" s="17">
        <f t="shared" si="141"/>
        <v>7.6336494971305155</v>
      </c>
      <c r="P55" s="17">
        <f t="shared" si="141"/>
        <v>7.3327559366154285</v>
      </c>
      <c r="Q55" s="17">
        <f t="shared" si="141"/>
        <v>7.1389997510420784</v>
      </c>
      <c r="S55" s="67">
        <f t="shared" si="98"/>
        <v>81.644136307197769</v>
      </c>
      <c r="T55" s="68">
        <f t="shared" si="99"/>
        <v>69.011093939991198</v>
      </c>
      <c r="U55" s="68">
        <f t="shared" si="100"/>
        <v>150.65523024718897</v>
      </c>
      <c r="W55" t="str">
        <f t="shared" si="133"/>
        <v>35 Business and public service associate professionals</v>
      </c>
      <c r="X55" s="17">
        <f t="shared" ref="X55:AB64" si="142">X18/X$35*100</f>
        <v>8.1005431282310507</v>
      </c>
      <c r="Y55" s="17">
        <f t="shared" si="142"/>
        <v>7.9597195055883532</v>
      </c>
      <c r="Z55" s="17">
        <f t="shared" si="142"/>
        <v>7.9764040659934814</v>
      </c>
      <c r="AA55" s="17">
        <f t="shared" si="142"/>
        <v>7.2935066810806779</v>
      </c>
      <c r="AB55" s="17">
        <f t="shared" si="142"/>
        <v>6.6290324854046467</v>
      </c>
      <c r="AD55" s="67">
        <f t="shared" si="102"/>
        <v>6.2434322083998461</v>
      </c>
      <c r="AE55" s="68">
        <f t="shared" si="103"/>
        <v>54.568507042840707</v>
      </c>
      <c r="AF55" s="68">
        <f t="shared" si="104"/>
        <v>60.811939251240553</v>
      </c>
      <c r="AH55" t="str">
        <f t="shared" si="134"/>
        <v>35 Business and public service associate professionals</v>
      </c>
      <c r="AI55" s="17">
        <f t="shared" ref="AI55:AM64" si="143">AI18/AI$35*100</f>
        <v>6.6026054411043713</v>
      </c>
      <c r="AJ55" s="17">
        <f t="shared" si="143"/>
        <v>7.2950118039976015</v>
      </c>
      <c r="AK55" s="17">
        <f t="shared" si="143"/>
        <v>7.681129972984527</v>
      </c>
      <c r="AL55" s="17">
        <f t="shared" si="143"/>
        <v>7.4796482926953596</v>
      </c>
      <c r="AM55" s="17">
        <f t="shared" si="143"/>
        <v>7.3125152962508375</v>
      </c>
      <c r="AO55" s="67">
        <f t="shared" si="106"/>
        <v>11.245944470063851</v>
      </c>
      <c r="AP55" s="68">
        <f t="shared" si="107"/>
        <v>52.334912925158029</v>
      </c>
      <c r="AQ55" s="68">
        <f t="shared" si="108"/>
        <v>63.580857395221877</v>
      </c>
      <c r="AS55" t="str">
        <f t="shared" si="135"/>
        <v>35 Business and public service associate professionals</v>
      </c>
      <c r="AT55" s="17">
        <f t="shared" ref="AT55:AX64" si="144">AT18/AT$35*100</f>
        <v>6.753506646587855</v>
      </c>
      <c r="AU55" s="17">
        <f t="shared" si="144"/>
        <v>6.5555385851434345</v>
      </c>
      <c r="AV55" s="17">
        <f t="shared" si="144"/>
        <v>6.6720263191415219</v>
      </c>
      <c r="AW55" s="17">
        <f t="shared" si="144"/>
        <v>6.0305909744187769</v>
      </c>
      <c r="AX55" s="17">
        <f t="shared" si="144"/>
        <v>5.5791729977044335</v>
      </c>
      <c r="AZ55" s="67">
        <f t="shared" si="110"/>
        <v>4.902560153763158</v>
      </c>
      <c r="BA55" s="68">
        <f t="shared" si="111"/>
        <v>49.645240839084579</v>
      </c>
      <c r="BB55" s="68">
        <f t="shared" si="112"/>
        <v>54.547800992847726</v>
      </c>
      <c r="BD55" t="str">
        <f t="shared" si="136"/>
        <v>35 Business and public service associate professionals</v>
      </c>
      <c r="BE55" s="17">
        <f t="shared" ref="BE55:BI64" si="145">BE18/BE$35*100</f>
        <v>5.0621299318635655</v>
      </c>
      <c r="BF55" s="17">
        <f t="shared" si="145"/>
        <v>5.1611064521174024</v>
      </c>
      <c r="BG55" s="17">
        <f t="shared" si="145"/>
        <v>5.5681206110421124</v>
      </c>
      <c r="BH55" s="17">
        <f t="shared" si="145"/>
        <v>4.8898921988652884</v>
      </c>
      <c r="BI55" s="17">
        <f t="shared" si="145"/>
        <v>4.5617134451976575</v>
      </c>
      <c r="BK55" s="67">
        <f t="shared" si="114"/>
        <v>-11.354141602509957</v>
      </c>
      <c r="BL55" s="68">
        <f t="shared" si="115"/>
        <v>35.950399394459851</v>
      </c>
      <c r="BM55" s="68">
        <f t="shared" si="116"/>
        <v>24.596257791949892</v>
      </c>
      <c r="BO55" t="str">
        <f t="shared" si="137"/>
        <v>35 Business and public service associate professionals</v>
      </c>
      <c r="BP55" s="17">
        <f t="shared" ref="BP55:BT64" si="146">BP18/BP$35*100</f>
        <v>4.1270107047465556</v>
      </c>
      <c r="BQ55" s="17">
        <f t="shared" si="146"/>
        <v>4.1853300115647887</v>
      </c>
      <c r="BR55" s="17">
        <f t="shared" si="146"/>
        <v>4.682348731181837</v>
      </c>
      <c r="BS55" s="17">
        <f t="shared" si="146"/>
        <v>4.0205487080023978</v>
      </c>
      <c r="BT55" s="17">
        <f t="shared" si="146"/>
        <v>3.7561066000285455</v>
      </c>
      <c r="BV55" s="67">
        <f t="shared" si="118"/>
        <v>-41.55195146625573</v>
      </c>
      <c r="BW55" s="68">
        <f t="shared" si="119"/>
        <v>30.090533245800938</v>
      </c>
      <c r="BX55" s="68">
        <f t="shared" si="120"/>
        <v>-11.461418220454798</v>
      </c>
      <c r="BZ55" t="str">
        <f t="shared" si="138"/>
        <v>35 Business and public service associate professionals</v>
      </c>
      <c r="CA55" s="17">
        <f t="shared" ref="CA55:CE64" si="147">CA18/CA$35*100</f>
        <v>3.8416792520108949</v>
      </c>
      <c r="CB55" s="17">
        <f t="shared" si="147"/>
        <v>4.1709470594910245</v>
      </c>
      <c r="CC55" s="17">
        <f t="shared" si="147"/>
        <v>4.3922243957786993</v>
      </c>
      <c r="CD55" s="17">
        <f t="shared" si="147"/>
        <v>3.8786149446370377</v>
      </c>
      <c r="CE55" s="17">
        <f t="shared" si="147"/>
        <v>3.8676337409861263</v>
      </c>
      <c r="CG55" s="67">
        <f t="shared" si="122"/>
        <v>-42.329594696571668</v>
      </c>
      <c r="CH55" s="68">
        <f t="shared" si="123"/>
        <v>23.786113264315897</v>
      </c>
      <c r="CI55" s="68">
        <f t="shared" si="124"/>
        <v>-18.543481432255771</v>
      </c>
      <c r="CK55" t="str">
        <f t="shared" si="139"/>
        <v>35 Business and public service associate professionals</v>
      </c>
      <c r="CL55" s="17">
        <f t="shared" ref="CL55:CP64" si="148">CL18/CL$35*100</f>
        <v>2.2700597128860407</v>
      </c>
      <c r="CM55" s="17">
        <f t="shared" si="148"/>
        <v>2.6836684088938414</v>
      </c>
      <c r="CN55" s="17">
        <f t="shared" si="148"/>
        <v>2.7955044584004365</v>
      </c>
      <c r="CO55" s="17">
        <f t="shared" si="148"/>
        <v>2.6789278327427106</v>
      </c>
      <c r="CP55" s="17">
        <f t="shared" si="148"/>
        <v>2.7252591206674568</v>
      </c>
      <c r="CR55" s="67">
        <f t="shared" si="126"/>
        <v>-45.085337407059292</v>
      </c>
      <c r="CS55" s="68">
        <f t="shared" si="127"/>
        <v>22.975874016934984</v>
      </c>
      <c r="CT55" s="68">
        <f t="shared" si="128"/>
        <v>-22.109463390124308</v>
      </c>
    </row>
    <row r="56" spans="1:98" x14ac:dyDescent="0.2">
      <c r="A56" t="str">
        <f t="shared" si="95"/>
        <v>41 Administrative occupations</v>
      </c>
      <c r="B56" s="17">
        <f t="shared" si="140"/>
        <v>2.7997546777174196</v>
      </c>
      <c r="C56" s="17">
        <f t="shared" si="140"/>
        <v>2.6939684594475652</v>
      </c>
      <c r="D56" s="17">
        <f t="shared" si="140"/>
        <v>2.7055214092152848</v>
      </c>
      <c r="E56" s="17">
        <f t="shared" si="140"/>
        <v>2.7337032889680546</v>
      </c>
      <c r="F56" s="17">
        <f t="shared" si="140"/>
        <v>3.098177551237757</v>
      </c>
      <c r="H56" s="67">
        <f t="shared" si="129"/>
        <v>123.23525775015447</v>
      </c>
      <c r="I56" s="68">
        <f t="shared" si="130"/>
        <v>86.900740543738507</v>
      </c>
      <c r="J56" s="68">
        <f t="shared" si="131"/>
        <v>210.13599829389292</v>
      </c>
      <c r="L56" t="str">
        <f t="shared" si="132"/>
        <v>41 Administrative occupations</v>
      </c>
      <c r="M56" s="17">
        <f t="shared" si="141"/>
        <v>4.9116811294265785</v>
      </c>
      <c r="N56" s="17">
        <f t="shared" si="141"/>
        <v>4.6532745937367173</v>
      </c>
      <c r="O56" s="17">
        <f t="shared" si="141"/>
        <v>4.9648530210938713</v>
      </c>
      <c r="P56" s="17">
        <f t="shared" si="141"/>
        <v>4.8655923117764956</v>
      </c>
      <c r="Q56" s="17">
        <f t="shared" si="141"/>
        <v>5.1859012328753487</v>
      </c>
      <c r="S56" s="67">
        <f t="shared" si="98"/>
        <v>102.87758957238877</v>
      </c>
      <c r="T56" s="68">
        <f t="shared" si="99"/>
        <v>82.230162438359969</v>
      </c>
      <c r="U56" s="68">
        <f t="shared" si="100"/>
        <v>185.10775201074875</v>
      </c>
      <c r="W56" t="str">
        <f t="shared" si="133"/>
        <v>41 Administrative occupations</v>
      </c>
      <c r="X56" s="17">
        <f t="shared" si="142"/>
        <v>8.1364647468797813</v>
      </c>
      <c r="Y56" s="17">
        <f t="shared" si="142"/>
        <v>7.5234687968412723</v>
      </c>
      <c r="Z56" s="17">
        <f t="shared" si="142"/>
        <v>8.1799242827845493</v>
      </c>
      <c r="AA56" s="17">
        <f t="shared" si="142"/>
        <v>7.8878073122604464</v>
      </c>
      <c r="AB56" s="17">
        <f t="shared" si="142"/>
        <v>7.895421952700274</v>
      </c>
      <c r="AD56" s="67">
        <f t="shared" si="102"/>
        <v>23.391474024044697</v>
      </c>
      <c r="AE56" s="68">
        <f t="shared" si="103"/>
        <v>65.596298945728648</v>
      </c>
      <c r="AF56" s="68">
        <f t="shared" si="104"/>
        <v>88.987772969773346</v>
      </c>
      <c r="AH56" t="str">
        <f t="shared" si="134"/>
        <v>41 Administrative occupations</v>
      </c>
      <c r="AI56" s="17">
        <f t="shared" si="143"/>
        <v>9.7147670623434141</v>
      </c>
      <c r="AJ56" s="17">
        <f t="shared" si="143"/>
        <v>10.273996505424179</v>
      </c>
      <c r="AK56" s="17">
        <f t="shared" si="143"/>
        <v>10.855599002042901</v>
      </c>
      <c r="AL56" s="17">
        <f t="shared" si="143"/>
        <v>10.843019675327429</v>
      </c>
      <c r="AM56" s="17">
        <f t="shared" si="143"/>
        <v>10.996023658995702</v>
      </c>
      <c r="AO56" s="67">
        <f t="shared" si="106"/>
        <v>18.365295603367159</v>
      </c>
      <c r="AP56" s="68">
        <f t="shared" si="107"/>
        <v>66.423071633233604</v>
      </c>
      <c r="AQ56" s="68">
        <f t="shared" si="108"/>
        <v>84.788367236600763</v>
      </c>
      <c r="AS56" t="str">
        <f t="shared" si="135"/>
        <v>41 Administrative occupations</v>
      </c>
      <c r="AT56" s="17">
        <f t="shared" si="144"/>
        <v>10.205036525181086</v>
      </c>
      <c r="AU56" s="17">
        <f t="shared" si="144"/>
        <v>9.8633058602842603</v>
      </c>
      <c r="AV56" s="17">
        <f t="shared" si="144"/>
        <v>10.583993431254651</v>
      </c>
      <c r="AW56" s="17">
        <f t="shared" si="144"/>
        <v>9.9180564534724986</v>
      </c>
      <c r="AX56" s="17">
        <f t="shared" si="144"/>
        <v>9.6831399022444824</v>
      </c>
      <c r="AZ56" s="67">
        <f t="shared" si="110"/>
        <v>14.773243480396816</v>
      </c>
      <c r="BA56" s="68">
        <f t="shared" si="111"/>
        <v>61.409909327002609</v>
      </c>
      <c r="BB56" s="68">
        <f t="shared" si="112"/>
        <v>76.183152807399424</v>
      </c>
      <c r="BD56" t="str">
        <f t="shared" si="136"/>
        <v>41 Administrative occupations</v>
      </c>
      <c r="BE56" s="17">
        <f t="shared" si="145"/>
        <v>8.1086523328549358</v>
      </c>
      <c r="BF56" s="17">
        <f t="shared" si="145"/>
        <v>7.8791895835694206</v>
      </c>
      <c r="BG56" s="17">
        <f t="shared" si="145"/>
        <v>8.5264418499716541</v>
      </c>
      <c r="BH56" s="17">
        <f t="shared" si="145"/>
        <v>7.5123958966282602</v>
      </c>
      <c r="BI56" s="17">
        <f t="shared" si="145"/>
        <v>6.3167702916326158</v>
      </c>
      <c r="BK56" s="67">
        <f t="shared" si="114"/>
        <v>-19.838408150776409</v>
      </c>
      <c r="BL56" s="68">
        <f t="shared" si="115"/>
        <v>39.9107892815273</v>
      </c>
      <c r="BM56" s="68">
        <f t="shared" si="116"/>
        <v>20.072381130750895</v>
      </c>
      <c r="BO56" t="str">
        <f t="shared" si="137"/>
        <v>41 Administrative occupations</v>
      </c>
      <c r="BP56" s="17">
        <f t="shared" si="146"/>
        <v>9.7023050529575716</v>
      </c>
      <c r="BQ56" s="17">
        <f t="shared" si="146"/>
        <v>9.3837339357425531</v>
      </c>
      <c r="BR56" s="17">
        <f t="shared" si="146"/>
        <v>9.6473398785905626</v>
      </c>
      <c r="BS56" s="17">
        <f t="shared" si="146"/>
        <v>8.0677364511263097</v>
      </c>
      <c r="BT56" s="17">
        <f t="shared" si="146"/>
        <v>6.0111949429390492</v>
      </c>
      <c r="BV56" s="67">
        <f t="shared" si="118"/>
        <v>-54.600706404388077</v>
      </c>
      <c r="BW56" s="68">
        <f t="shared" si="119"/>
        <v>30.335559377015869</v>
      </c>
      <c r="BX56" s="68">
        <f t="shared" si="120"/>
        <v>-24.265147027372208</v>
      </c>
      <c r="BZ56" t="str">
        <f t="shared" si="138"/>
        <v>41 Administrative occupations</v>
      </c>
      <c r="CA56" s="17">
        <f t="shared" si="147"/>
        <v>7.661072312043145</v>
      </c>
      <c r="CB56" s="17">
        <f t="shared" si="147"/>
        <v>6.9733267185436096</v>
      </c>
      <c r="CC56" s="17">
        <f t="shared" si="147"/>
        <v>7.8778169663148407</v>
      </c>
      <c r="CD56" s="17">
        <f t="shared" si="147"/>
        <v>5.8090783228579772</v>
      </c>
      <c r="CE56" s="17">
        <f t="shared" si="147"/>
        <v>3.0159396426055247</v>
      </c>
      <c r="CG56" s="67">
        <f t="shared" si="122"/>
        <v>-74.926847464007736</v>
      </c>
      <c r="CH56" s="68">
        <f t="shared" si="123"/>
        <v>18.460158593872517</v>
      </c>
      <c r="CI56" s="68">
        <f t="shared" si="124"/>
        <v>-56.466688870135215</v>
      </c>
      <c r="CK56" t="str">
        <f t="shared" si="139"/>
        <v>41 Administrative occupations</v>
      </c>
      <c r="CL56" s="17">
        <f t="shared" si="148"/>
        <v>5.6089131592678632</v>
      </c>
      <c r="CM56" s="17">
        <f t="shared" si="148"/>
        <v>5.0873677890238582</v>
      </c>
      <c r="CN56" s="17">
        <f t="shared" si="148"/>
        <v>4.7109854960748994</v>
      </c>
      <c r="CO56" s="17">
        <f t="shared" si="148"/>
        <v>4.0735913355345703</v>
      </c>
      <c r="CP56" s="17">
        <f t="shared" si="148"/>
        <v>2.487827193006114</v>
      </c>
      <c r="CR56" s="67">
        <f t="shared" si="126"/>
        <v>-70.252590608072879</v>
      </c>
      <c r="CS56" s="68">
        <f t="shared" si="127"/>
        <v>17.793490689227546</v>
      </c>
      <c r="CT56" s="68">
        <f t="shared" si="128"/>
        <v>-52.459099918845332</v>
      </c>
    </row>
    <row r="57" spans="1:98" x14ac:dyDescent="0.2">
      <c r="A57" t="str">
        <f t="shared" si="95"/>
        <v>42 Secretarial and related occupations</v>
      </c>
      <c r="B57" s="17">
        <f t="shared" si="140"/>
        <v>0.33596158577615259</v>
      </c>
      <c r="C57" s="17">
        <f t="shared" si="140"/>
        <v>0.3290706963075874</v>
      </c>
      <c r="D57" s="17">
        <f t="shared" si="140"/>
        <v>0.30609906989045021</v>
      </c>
      <c r="E57" s="17">
        <f t="shared" si="140"/>
        <v>0.39445279374830755</v>
      </c>
      <c r="F57" s="17">
        <f t="shared" si="140"/>
        <v>0.57570766052728728</v>
      </c>
      <c r="H57" s="67">
        <f t="shared" si="129"/>
        <v>266.64642825065539</v>
      </c>
      <c r="I57" s="68">
        <f t="shared" si="130"/>
        <v>145.78690728855764</v>
      </c>
      <c r="J57" s="68">
        <f t="shared" si="131"/>
        <v>412.43333553921298</v>
      </c>
      <c r="L57" t="str">
        <f t="shared" si="132"/>
        <v>42 Secretarial and related occupations</v>
      </c>
      <c r="M57" s="17">
        <f t="shared" si="141"/>
        <v>0.9910806932912537</v>
      </c>
      <c r="N57" s="17">
        <f t="shared" si="141"/>
        <v>0.80894183598758973</v>
      </c>
      <c r="O57" s="17">
        <f t="shared" si="141"/>
        <v>0.85047449586002932</v>
      </c>
      <c r="P57" s="17">
        <f t="shared" si="141"/>
        <v>1.1088183463011776</v>
      </c>
      <c r="Q57" s="17">
        <f t="shared" si="141"/>
        <v>1.078922188121398</v>
      </c>
      <c r="S57" s="67">
        <f t="shared" si="98"/>
        <v>146.40247244816092</v>
      </c>
      <c r="T57" s="68">
        <f t="shared" si="99"/>
        <v>111.03160757334484</v>
      </c>
      <c r="U57" s="68">
        <f t="shared" si="100"/>
        <v>257.43408002150574</v>
      </c>
      <c r="W57" t="str">
        <f t="shared" si="133"/>
        <v>42 Secretarial and related occupations</v>
      </c>
      <c r="X57" s="17">
        <f t="shared" si="142"/>
        <v>1.5822505950674952</v>
      </c>
      <c r="Y57" s="17">
        <f t="shared" si="142"/>
        <v>1.3828939302950249</v>
      </c>
      <c r="Z57" s="17">
        <f t="shared" si="142"/>
        <v>1.4175931913451756</v>
      </c>
      <c r="AA57" s="17">
        <f t="shared" si="142"/>
        <v>1.9591309638206982</v>
      </c>
      <c r="AB57" s="17">
        <f t="shared" si="142"/>
        <v>3.0623294296717773</v>
      </c>
      <c r="AD57" s="67">
        <f t="shared" si="102"/>
        <v>176.1591138934686</v>
      </c>
      <c r="AE57" s="68">
        <f t="shared" si="103"/>
        <v>113.39966359196731</v>
      </c>
      <c r="AF57" s="68">
        <f t="shared" si="104"/>
        <v>289.55877748543588</v>
      </c>
      <c r="AH57" t="str">
        <f t="shared" si="134"/>
        <v>42 Secretarial and related occupations</v>
      </c>
      <c r="AI57" s="17">
        <f t="shared" si="143"/>
        <v>2.3379105887688603</v>
      </c>
      <c r="AJ57" s="17">
        <f t="shared" si="143"/>
        <v>2.1518725636293068</v>
      </c>
      <c r="AK57" s="17">
        <f t="shared" si="143"/>
        <v>2.381818705884073</v>
      </c>
      <c r="AL57" s="17">
        <f t="shared" si="143"/>
        <v>3.1585877216731535</v>
      </c>
      <c r="AM57" s="17">
        <f t="shared" si="143"/>
        <v>3.2453970961306844</v>
      </c>
      <c r="AO57" s="67">
        <f t="shared" si="106"/>
        <v>59.221479601182835</v>
      </c>
      <c r="AP57" s="68">
        <f t="shared" si="107"/>
        <v>91.321183233248604</v>
      </c>
      <c r="AQ57" s="68">
        <f t="shared" si="108"/>
        <v>150.54266283443144</v>
      </c>
      <c r="AS57" t="str">
        <f t="shared" si="135"/>
        <v>42 Secretarial and related occupations</v>
      </c>
      <c r="AT57" s="17">
        <f t="shared" si="144"/>
        <v>2.0431795414375986</v>
      </c>
      <c r="AU57" s="17">
        <f t="shared" si="144"/>
        <v>1.7044876857317859</v>
      </c>
      <c r="AV57" s="17">
        <f t="shared" si="144"/>
        <v>1.9809918908776849</v>
      </c>
      <c r="AW57" s="17">
        <f t="shared" si="144"/>
        <v>2.301841928120234</v>
      </c>
      <c r="AX57" s="17">
        <f t="shared" si="144"/>
        <v>3.0587288294167898</v>
      </c>
      <c r="AZ57" s="67">
        <f t="shared" si="110"/>
        <v>93.701189936922958</v>
      </c>
      <c r="BA57" s="68">
        <f t="shared" si="111"/>
        <v>77.961711744904122</v>
      </c>
      <c r="BB57" s="68">
        <f t="shared" si="112"/>
        <v>171.66290168182709</v>
      </c>
      <c r="BD57" t="str">
        <f t="shared" si="136"/>
        <v>42 Secretarial and related occupations</v>
      </c>
      <c r="BE57" s="17">
        <f t="shared" si="145"/>
        <v>1.8903195070806018</v>
      </c>
      <c r="BF57" s="17">
        <f t="shared" si="145"/>
        <v>1.713750078313266</v>
      </c>
      <c r="BG57" s="17">
        <f t="shared" si="145"/>
        <v>1.6791447830720463</v>
      </c>
      <c r="BH57" s="17">
        <f t="shared" si="145"/>
        <v>1.8508288021527031</v>
      </c>
      <c r="BI57" s="17">
        <f t="shared" si="145"/>
        <v>0.6577673632017903</v>
      </c>
      <c r="BK57" s="67">
        <f t="shared" si="114"/>
        <v>-57.613919383540171</v>
      </c>
      <c r="BL57" s="68">
        <f t="shared" si="115"/>
        <v>37.382508002649502</v>
      </c>
      <c r="BM57" s="68">
        <f t="shared" si="116"/>
        <v>-20.231411380890666</v>
      </c>
      <c r="BO57" t="str">
        <f t="shared" si="137"/>
        <v>42 Secretarial and related occupations</v>
      </c>
      <c r="BP57" s="17">
        <f t="shared" si="146"/>
        <v>2.7018692667853279</v>
      </c>
      <c r="BQ57" s="17">
        <f t="shared" si="146"/>
        <v>2.398271217873873</v>
      </c>
      <c r="BR57" s="17">
        <f t="shared" si="146"/>
        <v>2.1565355852425876</v>
      </c>
      <c r="BS57" s="17">
        <f t="shared" si="146"/>
        <v>1.8384550972305957</v>
      </c>
      <c r="BT57" s="17">
        <f t="shared" si="146"/>
        <v>0.55855421933410543</v>
      </c>
      <c r="BV57" s="67">
        <f t="shared" si="118"/>
        <v>-81.1285804461899</v>
      </c>
      <c r="BW57" s="68">
        <f t="shared" si="119"/>
        <v>28.417534515488363</v>
      </c>
      <c r="BX57" s="68">
        <f t="shared" si="120"/>
        <v>-52.711045930701552</v>
      </c>
      <c r="BZ57" t="str">
        <f t="shared" si="138"/>
        <v>42 Secretarial and related occupations</v>
      </c>
      <c r="CA57" s="17">
        <f t="shared" si="147"/>
        <v>3.136070990550035</v>
      </c>
      <c r="CB57" s="17">
        <f t="shared" si="147"/>
        <v>2.9114585064682128</v>
      </c>
      <c r="CC57" s="17">
        <f t="shared" si="147"/>
        <v>3.0991589703173847</v>
      </c>
      <c r="CD57" s="17">
        <f t="shared" si="147"/>
        <v>2.0165195702869689</v>
      </c>
      <c r="CE57" s="17">
        <f t="shared" si="147"/>
        <v>0.89996225758341608</v>
      </c>
      <c r="CG57" s="67">
        <f t="shared" si="122"/>
        <v>-80.981659187572205</v>
      </c>
      <c r="CH57" s="68">
        <f t="shared" si="123"/>
        <v>19.318562972944122</v>
      </c>
      <c r="CI57" s="68">
        <f t="shared" si="124"/>
        <v>-61.663096214628077</v>
      </c>
      <c r="CK57" t="str">
        <f t="shared" si="139"/>
        <v>42 Secretarial and related occupations</v>
      </c>
      <c r="CL57" s="17">
        <f t="shared" si="148"/>
        <v>2.253222529571929</v>
      </c>
      <c r="CM57" s="17">
        <f t="shared" si="148"/>
        <v>2.1934952221345139</v>
      </c>
      <c r="CN57" s="17">
        <f t="shared" si="148"/>
        <v>1.9182998643523648</v>
      </c>
      <c r="CO57" s="17">
        <f t="shared" si="148"/>
        <v>2.6651227533181761</v>
      </c>
      <c r="CP57" s="17">
        <f t="shared" si="148"/>
        <v>1.161123936604096</v>
      </c>
      <c r="CR57" s="67">
        <f t="shared" si="126"/>
        <v>-65.904050505497537</v>
      </c>
      <c r="CS57" s="68">
        <f t="shared" si="127"/>
        <v>31.471910775251509</v>
      </c>
      <c r="CT57" s="68">
        <f t="shared" si="128"/>
        <v>-34.432139730246028</v>
      </c>
    </row>
    <row r="58" spans="1:98" x14ac:dyDescent="0.2">
      <c r="A58" t="str">
        <f t="shared" si="95"/>
        <v>51 Skilled agricultural and related trades</v>
      </c>
      <c r="B58" s="17">
        <f t="shared" si="140"/>
        <v>0.2290939234121393</v>
      </c>
      <c r="C58" s="17">
        <f t="shared" si="140"/>
        <v>0.3198823977352343</v>
      </c>
      <c r="D58" s="17">
        <f t="shared" si="140"/>
        <v>0.2810716763994795</v>
      </c>
      <c r="E58" s="17">
        <f t="shared" si="140"/>
        <v>0.28513086116670067</v>
      </c>
      <c r="F58" s="17">
        <f t="shared" si="140"/>
        <v>0.33488935479193738</v>
      </c>
      <c r="H58" s="67">
        <f t="shared" si="129"/>
        <v>132.26925075562059</v>
      </c>
      <c r="I58" s="68">
        <f t="shared" si="130"/>
        <v>122.93498764560485</v>
      </c>
      <c r="J58" s="68">
        <f t="shared" si="131"/>
        <v>255.20423840122547</v>
      </c>
      <c r="L58" t="str">
        <f t="shared" si="132"/>
        <v>51 Skilled agricultural and related trades</v>
      </c>
      <c r="M58" s="17">
        <f t="shared" si="141"/>
        <v>0.23767657937720485</v>
      </c>
      <c r="N58" s="17">
        <f t="shared" si="141"/>
        <v>0.19497481197688388</v>
      </c>
      <c r="O58" s="17">
        <f t="shared" si="141"/>
        <v>0.20898956179376763</v>
      </c>
      <c r="P58" s="17">
        <f t="shared" si="141"/>
        <v>0.21290227227863759</v>
      </c>
      <c r="Q58" s="17">
        <f t="shared" si="141"/>
        <v>0.23386552347106479</v>
      </c>
      <c r="S58" s="67">
        <f t="shared" si="98"/>
        <v>117.34909620864451</v>
      </c>
      <c r="T58" s="68">
        <f t="shared" si="99"/>
        <v>80.927495433254649</v>
      </c>
      <c r="U58" s="68">
        <f t="shared" si="100"/>
        <v>198.27659164189916</v>
      </c>
      <c r="W58" t="str">
        <f t="shared" si="133"/>
        <v>51 Skilled agricultural and related trades</v>
      </c>
      <c r="X58" s="17">
        <f t="shared" si="142"/>
        <v>0.92717926642093063</v>
      </c>
      <c r="Y58" s="17">
        <f t="shared" si="142"/>
        <v>0.84168909578928186</v>
      </c>
      <c r="Z58" s="17">
        <f t="shared" si="142"/>
        <v>0.97092467628846679</v>
      </c>
      <c r="AA58" s="17">
        <f t="shared" si="142"/>
        <v>1.0563808663893357</v>
      </c>
      <c r="AB58" s="17">
        <f t="shared" si="142"/>
        <v>1.2923765791445934</v>
      </c>
      <c r="AD58" s="67">
        <f t="shared" si="102"/>
        <v>70.162019506396717</v>
      </c>
      <c r="AE58" s="68">
        <f t="shared" si="103"/>
        <v>91.739130958852613</v>
      </c>
      <c r="AF58" s="68">
        <f t="shared" si="104"/>
        <v>161.90115046524934</v>
      </c>
      <c r="AH58" t="str">
        <f t="shared" si="134"/>
        <v>51 Skilled agricultural and related trades</v>
      </c>
      <c r="AI58" s="17">
        <f t="shared" si="143"/>
        <v>1.3799675937488902</v>
      </c>
      <c r="AJ58" s="17">
        <f t="shared" si="143"/>
        <v>1.5822861300717079</v>
      </c>
      <c r="AK58" s="17">
        <f t="shared" si="143"/>
        <v>1.5436194838642769</v>
      </c>
      <c r="AL58" s="17">
        <f t="shared" si="143"/>
        <v>1.8572293563225755</v>
      </c>
      <c r="AM58" s="17">
        <f t="shared" si="143"/>
        <v>2.2707314035773618</v>
      </c>
      <c r="AO58" s="67">
        <f t="shared" si="106"/>
        <v>71.896893543647408</v>
      </c>
      <c r="AP58" s="68">
        <f t="shared" si="107"/>
        <v>98.606354228295146</v>
      </c>
      <c r="AQ58" s="68">
        <f t="shared" si="108"/>
        <v>170.5032477719426</v>
      </c>
      <c r="AS58" t="str">
        <f t="shared" si="135"/>
        <v>51 Skilled agricultural and related trades</v>
      </c>
      <c r="AT58" s="17">
        <f t="shared" si="144"/>
        <v>2.39377384982616</v>
      </c>
      <c r="AU58" s="17">
        <f t="shared" si="144"/>
        <v>2.3590986201555251</v>
      </c>
      <c r="AV58" s="17">
        <f t="shared" si="144"/>
        <v>2.3466710713722994</v>
      </c>
      <c r="AW58" s="17">
        <f t="shared" si="144"/>
        <v>2.5275117623762213</v>
      </c>
      <c r="AX58" s="17">
        <f t="shared" si="144"/>
        <v>2.9321051923268442</v>
      </c>
      <c r="AZ58" s="67">
        <f t="shared" si="110"/>
        <v>56.747757880826398</v>
      </c>
      <c r="BA58" s="68">
        <f t="shared" si="111"/>
        <v>81.994950391903416</v>
      </c>
      <c r="BB58" s="68">
        <f t="shared" si="112"/>
        <v>138.7427082727298</v>
      </c>
      <c r="BD58" t="str">
        <f t="shared" si="136"/>
        <v>51 Skilled agricultural and related trades</v>
      </c>
      <c r="BE58" s="17">
        <f t="shared" si="145"/>
        <v>1.176503503773811</v>
      </c>
      <c r="BF58" s="17">
        <f t="shared" si="145"/>
        <v>1.0429697521647896</v>
      </c>
      <c r="BG58" s="17">
        <f t="shared" si="145"/>
        <v>1.1105336526456617</v>
      </c>
      <c r="BH58" s="17">
        <f t="shared" si="145"/>
        <v>1.0681922118201674</v>
      </c>
      <c r="BI58" s="17">
        <f t="shared" si="145"/>
        <v>1.0961823429268678</v>
      </c>
      <c r="BK58" s="67">
        <f t="shared" si="114"/>
        <v>6.8046501879585968</v>
      </c>
      <c r="BL58" s="68">
        <f t="shared" si="115"/>
        <v>48.11736665690956</v>
      </c>
      <c r="BM58" s="68">
        <f t="shared" si="116"/>
        <v>54.92201684486816</v>
      </c>
      <c r="BO58" t="str">
        <f t="shared" si="137"/>
        <v>51 Skilled agricultural and related trades</v>
      </c>
      <c r="BP58" s="17">
        <f t="shared" si="146"/>
        <v>1.6725232822718525</v>
      </c>
      <c r="BQ58" s="17">
        <f t="shared" si="146"/>
        <v>1.5215627949348367</v>
      </c>
      <c r="BR58" s="17">
        <f t="shared" si="146"/>
        <v>1.6756667956619231</v>
      </c>
      <c r="BS58" s="17">
        <f t="shared" si="146"/>
        <v>1.6731759259244947</v>
      </c>
      <c r="BT58" s="17">
        <f t="shared" si="146"/>
        <v>2.0202930023130983</v>
      </c>
      <c r="BV58" s="67">
        <f t="shared" si="118"/>
        <v>-12.153885363071238</v>
      </c>
      <c r="BW58" s="68">
        <f t="shared" si="119"/>
        <v>49.021658592956456</v>
      </c>
      <c r="BX58" s="68">
        <f t="shared" si="120"/>
        <v>36.867773229885223</v>
      </c>
      <c r="BZ58" t="str">
        <f t="shared" si="138"/>
        <v>51 Skilled agricultural and related trades</v>
      </c>
      <c r="CA58" s="17">
        <f t="shared" si="147"/>
        <v>2.3366023990192173</v>
      </c>
      <c r="CB58" s="17">
        <f t="shared" si="147"/>
        <v>2.2075618527244001</v>
      </c>
      <c r="CC58" s="17">
        <f t="shared" si="147"/>
        <v>2.2789539501375735</v>
      </c>
      <c r="CD58" s="17">
        <f t="shared" si="147"/>
        <v>2.3701391825291385</v>
      </c>
      <c r="CE58" s="17">
        <f t="shared" si="147"/>
        <v>3.5670710588692511</v>
      </c>
      <c r="CG58" s="67">
        <f t="shared" si="122"/>
        <v>2.5105100393501436</v>
      </c>
      <c r="CH58" s="68">
        <f t="shared" si="123"/>
        <v>39.402286755867436</v>
      </c>
      <c r="CI58" s="68">
        <f t="shared" si="124"/>
        <v>41.912796795217581</v>
      </c>
      <c r="CK58" t="str">
        <f t="shared" si="139"/>
        <v>51 Skilled agricultural and related trades</v>
      </c>
      <c r="CL58" s="17">
        <f t="shared" si="148"/>
        <v>3.9215141898710719</v>
      </c>
      <c r="CM58" s="17">
        <f t="shared" si="148"/>
        <v>4.4381904358949633</v>
      </c>
      <c r="CN58" s="17">
        <f t="shared" si="148"/>
        <v>5.8788918284206799</v>
      </c>
      <c r="CO58" s="17">
        <f t="shared" si="148"/>
        <v>6.1041340822865209</v>
      </c>
      <c r="CP58" s="17">
        <f t="shared" si="148"/>
        <v>3.20512629621222</v>
      </c>
      <c r="CR58" s="67">
        <f t="shared" si="126"/>
        <v>-69.289252657523036</v>
      </c>
      <c r="CS58" s="68">
        <f t="shared" si="127"/>
        <v>22.910416268985816</v>
      </c>
      <c r="CT58" s="68">
        <f t="shared" si="128"/>
        <v>-46.378836388537223</v>
      </c>
    </row>
    <row r="59" spans="1:98" x14ac:dyDescent="0.2">
      <c r="A59" t="str">
        <f t="shared" si="95"/>
        <v>52 Skilled metal, electrical and electronic trades</v>
      </c>
      <c r="B59" s="17">
        <f t="shared" si="140"/>
        <v>0.23595805163814826</v>
      </c>
      <c r="C59" s="17">
        <f t="shared" si="140"/>
        <v>0.23716958970741059</v>
      </c>
      <c r="D59" s="17">
        <f t="shared" si="140"/>
        <v>0.23901668186096731</v>
      </c>
      <c r="E59" s="17">
        <f t="shared" si="140"/>
        <v>0.2595610048442451</v>
      </c>
      <c r="F59" s="17">
        <f t="shared" si="140"/>
        <v>0.27210601416050245</v>
      </c>
      <c r="H59" s="67">
        <f t="shared" si="129"/>
        <v>121.93070254763629</v>
      </c>
      <c r="I59" s="68">
        <f t="shared" si="130"/>
        <v>65.716481867022082</v>
      </c>
      <c r="J59" s="68">
        <f t="shared" si="131"/>
        <v>187.6471844146584</v>
      </c>
      <c r="L59" t="str">
        <f t="shared" si="132"/>
        <v>52 Skilled metal, electrical and electronic trades</v>
      </c>
      <c r="M59" s="17">
        <f t="shared" si="141"/>
        <v>0.82410429896872928</v>
      </c>
      <c r="N59" s="17">
        <f t="shared" si="141"/>
        <v>0.79822564247527961</v>
      </c>
      <c r="O59" s="17">
        <f t="shared" si="141"/>
        <v>0.62462949296472026</v>
      </c>
      <c r="P59" s="17">
        <f t="shared" si="141"/>
        <v>0.85759642926299084</v>
      </c>
      <c r="Q59" s="17">
        <f t="shared" si="141"/>
        <v>1.1076964237526463</v>
      </c>
      <c r="S59" s="67">
        <f t="shared" si="98"/>
        <v>244.44072802956333</v>
      </c>
      <c r="T59" s="68">
        <f t="shared" si="99"/>
        <v>112.59658413822082</v>
      </c>
      <c r="U59" s="68">
        <f t="shared" si="100"/>
        <v>357.03731216778414</v>
      </c>
      <c r="W59" t="str">
        <f t="shared" si="133"/>
        <v>52 Skilled metal, electrical and electronic trades</v>
      </c>
      <c r="X59" s="17">
        <f t="shared" si="142"/>
        <v>1.1396854391290865</v>
      </c>
      <c r="Y59" s="17">
        <f t="shared" si="142"/>
        <v>1.127988472490842</v>
      </c>
      <c r="Z59" s="17">
        <f t="shared" si="142"/>
        <v>0.90695730941122343</v>
      </c>
      <c r="AA59" s="17">
        <f t="shared" si="142"/>
        <v>1.1013936535417139</v>
      </c>
      <c r="AB59" s="17">
        <f t="shared" si="142"/>
        <v>1.2790272868582371</v>
      </c>
      <c r="AD59" s="67">
        <f t="shared" si="102"/>
        <v>80.281870630330019</v>
      </c>
      <c r="AE59" s="68">
        <f t="shared" si="103"/>
        <v>77.125390740176456</v>
      </c>
      <c r="AF59" s="68">
        <f t="shared" si="104"/>
        <v>157.40726137050649</v>
      </c>
      <c r="AH59" t="str">
        <f t="shared" si="134"/>
        <v>52 Skilled metal, electrical and electronic trades</v>
      </c>
      <c r="AI59" s="17">
        <f t="shared" si="143"/>
        <v>1.3544434301241832</v>
      </c>
      <c r="AJ59" s="17">
        <f t="shared" si="143"/>
        <v>1.4490235221972396</v>
      </c>
      <c r="AK59" s="17">
        <f t="shared" si="143"/>
        <v>1.2327460969761477</v>
      </c>
      <c r="AL59" s="17">
        <f t="shared" si="143"/>
        <v>1.428078162207375</v>
      </c>
      <c r="AM59" s="17">
        <f t="shared" si="143"/>
        <v>1.56684124317454</v>
      </c>
      <c r="AO59" s="67">
        <f t="shared" si="106"/>
        <v>48.523054553737524</v>
      </c>
      <c r="AP59" s="68">
        <f t="shared" si="107"/>
        <v>61.200990568054806</v>
      </c>
      <c r="AQ59" s="68">
        <f t="shared" si="108"/>
        <v>109.72404512179234</v>
      </c>
      <c r="AS59" t="str">
        <f t="shared" si="135"/>
        <v>52 Skilled metal, electrical and electronic trades</v>
      </c>
      <c r="AT59" s="17">
        <f t="shared" si="144"/>
        <v>5.8089587602020396</v>
      </c>
      <c r="AU59" s="17">
        <f t="shared" si="144"/>
        <v>5.6124547656118668</v>
      </c>
      <c r="AV59" s="17">
        <f t="shared" si="144"/>
        <v>4.736459421949057</v>
      </c>
      <c r="AW59" s="17">
        <f t="shared" si="144"/>
        <v>5.0073731353401065</v>
      </c>
      <c r="AX59" s="17">
        <f t="shared" si="144"/>
        <v>5.3126833868946797</v>
      </c>
      <c r="AZ59" s="67">
        <f t="shared" si="110"/>
        <v>40.712968021180437</v>
      </c>
      <c r="BA59" s="68">
        <f t="shared" si="111"/>
        <v>57.812028878367883</v>
      </c>
      <c r="BB59" s="68">
        <f t="shared" si="112"/>
        <v>98.524996899548327</v>
      </c>
      <c r="BD59" t="str">
        <f t="shared" si="136"/>
        <v>52 Skilled metal, electrical and electronic trades</v>
      </c>
      <c r="BE59" s="17">
        <f t="shared" si="145"/>
        <v>8.5048831609033684</v>
      </c>
      <c r="BF59" s="17">
        <f t="shared" si="145"/>
        <v>7.9021748771401281</v>
      </c>
      <c r="BG59" s="17">
        <f t="shared" si="145"/>
        <v>7.3302106481634359</v>
      </c>
      <c r="BH59" s="17">
        <f t="shared" si="145"/>
        <v>7.0987086657337457</v>
      </c>
      <c r="BI59" s="17">
        <f t="shared" si="145"/>
        <v>6.8444144218024308</v>
      </c>
      <c r="BK59" s="67">
        <f t="shared" si="114"/>
        <v>1.0319943180751165</v>
      </c>
      <c r="BL59" s="68">
        <f t="shared" si="115"/>
        <v>34.055815775840315</v>
      </c>
      <c r="BM59" s="68">
        <f t="shared" si="116"/>
        <v>35.087810093915436</v>
      </c>
      <c r="BO59" t="str">
        <f t="shared" si="137"/>
        <v>52 Skilled metal, electrical and electronic trades</v>
      </c>
      <c r="BP59" s="17">
        <f t="shared" si="146"/>
        <v>4.7803377284878072</v>
      </c>
      <c r="BQ59" s="17">
        <f t="shared" si="146"/>
        <v>4.369255401564164</v>
      </c>
      <c r="BR59" s="17">
        <f t="shared" si="146"/>
        <v>4.4714583845576445</v>
      </c>
      <c r="BS59" s="17">
        <f t="shared" si="146"/>
        <v>4.1194637850346574</v>
      </c>
      <c r="BT59" s="17">
        <f t="shared" si="146"/>
        <v>3.8911165884460841</v>
      </c>
      <c r="BV59" s="67">
        <f t="shared" si="118"/>
        <v>-36.59537875248008</v>
      </c>
      <c r="BW59" s="68">
        <f t="shared" si="119"/>
        <v>31.26633811671789</v>
      </c>
      <c r="BX59" s="68">
        <f t="shared" si="120"/>
        <v>-5.3290406357621922</v>
      </c>
      <c r="BZ59" t="str">
        <f t="shared" si="138"/>
        <v>52 Skilled metal, electrical and electronic trades</v>
      </c>
      <c r="CA59" s="17">
        <f t="shared" si="147"/>
        <v>3.9640043204760484</v>
      </c>
      <c r="CB59" s="17">
        <f t="shared" si="147"/>
        <v>3.9165202881394698</v>
      </c>
      <c r="CC59" s="17">
        <f t="shared" si="147"/>
        <v>3.3961190079308303</v>
      </c>
      <c r="CD59" s="17">
        <f t="shared" si="147"/>
        <v>3.404174893165099</v>
      </c>
      <c r="CE59" s="17">
        <f t="shared" si="147"/>
        <v>2.7093253920522251</v>
      </c>
      <c r="CG59" s="67">
        <f t="shared" si="122"/>
        <v>-47.751906272175319</v>
      </c>
      <c r="CH59" s="68">
        <f t="shared" si="123"/>
        <v>27.141082603627726</v>
      </c>
      <c r="CI59" s="68">
        <f t="shared" si="124"/>
        <v>-20.610823668547592</v>
      </c>
      <c r="CK59" t="str">
        <f t="shared" si="139"/>
        <v>52 Skilled metal, electrical and electronic trades</v>
      </c>
      <c r="CL59" s="17">
        <f t="shared" si="148"/>
        <v>3.4625316311127761</v>
      </c>
      <c r="CM59" s="17">
        <f t="shared" si="148"/>
        <v>4.0920562689947877</v>
      </c>
      <c r="CN59" s="17">
        <f t="shared" si="148"/>
        <v>4.1445524691196116</v>
      </c>
      <c r="CO59" s="17">
        <f t="shared" si="148"/>
        <v>3.901387708423254</v>
      </c>
      <c r="CP59" s="17">
        <f t="shared" si="148"/>
        <v>2.4589239698098506</v>
      </c>
      <c r="CR59" s="67">
        <f t="shared" si="126"/>
        <v>-66.579867650971124</v>
      </c>
      <c r="CS59" s="68">
        <f t="shared" si="127"/>
        <v>19.716709903349901</v>
      </c>
      <c r="CT59" s="68">
        <f t="shared" si="128"/>
        <v>-46.863157747621223</v>
      </c>
    </row>
    <row r="60" spans="1:98" x14ac:dyDescent="0.2">
      <c r="A60" t="str">
        <f t="shared" si="95"/>
        <v>53 Skilled construction and building trades</v>
      </c>
      <c r="B60" s="17">
        <f t="shared" si="140"/>
        <v>0.16471814954280053</v>
      </c>
      <c r="C60" s="17">
        <f t="shared" si="140"/>
        <v>9.6776345589394672E-2</v>
      </c>
      <c r="D60" s="17">
        <f t="shared" si="140"/>
        <v>6.4588857332551694E-2</v>
      </c>
      <c r="E60" s="17">
        <f t="shared" si="140"/>
        <v>0.10285471006241673</v>
      </c>
      <c r="F60" s="17">
        <f t="shared" si="140"/>
        <v>8.860214420050197E-2</v>
      </c>
      <c r="H60" s="67">
        <f t="shared" si="129"/>
        <v>167.42012715084871</v>
      </c>
      <c r="I60" s="68">
        <f t="shared" si="130"/>
        <v>92.152692279331603</v>
      </c>
      <c r="J60" s="68">
        <f t="shared" si="131"/>
        <v>259.57281943018035</v>
      </c>
      <c r="L60" t="str">
        <f t="shared" si="132"/>
        <v>53 Skilled construction and building trades</v>
      </c>
      <c r="M60" s="17">
        <f t="shared" si="141"/>
        <v>0.40193675886836921</v>
      </c>
      <c r="N60" s="17">
        <f t="shared" si="141"/>
        <v>0.36852220348167258</v>
      </c>
      <c r="O60" s="17">
        <f t="shared" si="141"/>
        <v>0.26463909427130949</v>
      </c>
      <c r="P60" s="17">
        <f t="shared" si="141"/>
        <v>0.34958387184334566</v>
      </c>
      <c r="Q60" s="17">
        <f t="shared" si="141"/>
        <v>0.35189218178323545</v>
      </c>
      <c r="S60" s="67">
        <f t="shared" si="98"/>
        <v>158.26874234534171</v>
      </c>
      <c r="T60" s="68">
        <f t="shared" si="99"/>
        <v>90.527381851557607</v>
      </c>
      <c r="U60" s="68">
        <f t="shared" si="100"/>
        <v>248.79612419689931</v>
      </c>
      <c r="W60" t="str">
        <f t="shared" si="133"/>
        <v>53 Skilled construction and building trades</v>
      </c>
      <c r="X60" s="17">
        <f t="shared" si="142"/>
        <v>0.78605725738070142</v>
      </c>
      <c r="Y60" s="17">
        <f t="shared" si="142"/>
        <v>0.70307309277592211</v>
      </c>
      <c r="Z60" s="17">
        <f t="shared" si="142"/>
        <v>0.5459606151005163</v>
      </c>
      <c r="AA60" s="17">
        <f t="shared" si="142"/>
        <v>0.6914545260905115</v>
      </c>
      <c r="AB60" s="17">
        <f t="shared" si="142"/>
        <v>0.74319732535378813</v>
      </c>
      <c r="AD60" s="67">
        <f t="shared" si="102"/>
        <v>74.021102098006338</v>
      </c>
      <c r="AE60" s="68">
        <f t="shared" si="103"/>
        <v>77.766500260696787</v>
      </c>
      <c r="AF60" s="68">
        <f t="shared" si="104"/>
        <v>151.78760235870311</v>
      </c>
      <c r="AH60" t="str">
        <f t="shared" si="134"/>
        <v>53 Skilled construction and building trades</v>
      </c>
      <c r="AI60" s="17">
        <f t="shared" si="143"/>
        <v>1.4023104465366369</v>
      </c>
      <c r="AJ60" s="17">
        <f t="shared" si="143"/>
        <v>1.7334115723411327</v>
      </c>
      <c r="AK60" s="17">
        <f t="shared" si="143"/>
        <v>1.2891837717971684</v>
      </c>
      <c r="AL60" s="17">
        <f t="shared" si="143"/>
        <v>1.7480991431986048</v>
      </c>
      <c r="AM60" s="17">
        <f t="shared" si="143"/>
        <v>1.9814401136516377</v>
      </c>
      <c r="AO60" s="67">
        <f t="shared" si="106"/>
        <v>79.60095216681917</v>
      </c>
      <c r="AP60" s="68">
        <f t="shared" si="107"/>
        <v>86.459567716267756</v>
      </c>
      <c r="AQ60" s="68">
        <f t="shared" si="108"/>
        <v>166.06051988308695</v>
      </c>
      <c r="AS60" t="str">
        <f t="shared" si="135"/>
        <v>53 Skilled construction and building trades</v>
      </c>
      <c r="AT60" s="17">
        <f t="shared" si="144"/>
        <v>2.4735057528984852</v>
      </c>
      <c r="AU60" s="17">
        <f t="shared" si="144"/>
        <v>2.4801544056753451</v>
      </c>
      <c r="AV60" s="17">
        <f t="shared" si="144"/>
        <v>1.9252736297619286</v>
      </c>
      <c r="AW60" s="17">
        <f t="shared" si="144"/>
        <v>2.5473258010942579</v>
      </c>
      <c r="AX60" s="17">
        <f t="shared" si="144"/>
        <v>2.7113254972419232</v>
      </c>
      <c r="AZ60" s="67">
        <f t="shared" si="110"/>
        <v>76.670161390024475</v>
      </c>
      <c r="BA60" s="68">
        <f t="shared" si="111"/>
        <v>86.872530734924155</v>
      </c>
      <c r="BB60" s="68">
        <f t="shared" si="112"/>
        <v>163.54269212494864</v>
      </c>
      <c r="BD60" t="str">
        <f t="shared" si="136"/>
        <v>53 Skilled construction and building trades</v>
      </c>
      <c r="BE60" s="17">
        <f t="shared" si="145"/>
        <v>6.9363838557405622</v>
      </c>
      <c r="BF60" s="17">
        <f t="shared" si="145"/>
        <v>6.5155052707078607</v>
      </c>
      <c r="BG60" s="17">
        <f t="shared" si="145"/>
        <v>5.2573081745385704</v>
      </c>
      <c r="BH60" s="17">
        <f t="shared" si="145"/>
        <v>5.6303824828219469</v>
      </c>
      <c r="BI60" s="17">
        <f t="shared" si="145"/>
        <v>5.374649880745249</v>
      </c>
      <c r="BK60" s="67">
        <f t="shared" si="114"/>
        <v>10.618006161592096</v>
      </c>
      <c r="BL60" s="68">
        <f t="shared" si="115"/>
        <v>40.648910463484192</v>
      </c>
      <c r="BM60" s="68">
        <f t="shared" si="116"/>
        <v>51.266916625076298</v>
      </c>
      <c r="BO60" t="str">
        <f t="shared" si="137"/>
        <v>53 Skilled construction and building trades</v>
      </c>
      <c r="BP60" s="17">
        <f t="shared" si="146"/>
        <v>5.5719761703815607</v>
      </c>
      <c r="BQ60" s="17">
        <f t="shared" si="146"/>
        <v>5.8124611934625756</v>
      </c>
      <c r="BR60" s="17">
        <f t="shared" si="146"/>
        <v>5.3208640586341147</v>
      </c>
      <c r="BS60" s="17">
        <f t="shared" si="146"/>
        <v>6.2086613776051882</v>
      </c>
      <c r="BT60" s="17">
        <f t="shared" si="146"/>
        <v>7.6498409990960319</v>
      </c>
      <c r="BV60" s="67">
        <f t="shared" si="118"/>
        <v>4.7529126226812988</v>
      </c>
      <c r="BW60" s="68">
        <f t="shared" si="119"/>
        <v>50.881884454460788</v>
      </c>
      <c r="BX60" s="68">
        <f t="shared" si="120"/>
        <v>55.634797077142096</v>
      </c>
      <c r="BZ60" t="str">
        <f t="shared" si="138"/>
        <v>53 Skilled construction and building trades</v>
      </c>
      <c r="CA60" s="17">
        <f t="shared" si="147"/>
        <v>4.7195230920872229</v>
      </c>
      <c r="CB60" s="17">
        <f t="shared" si="147"/>
        <v>5.1097263471103753</v>
      </c>
      <c r="CC60" s="17">
        <f t="shared" si="147"/>
        <v>3.9730471403798222</v>
      </c>
      <c r="CD60" s="17">
        <f t="shared" si="147"/>
        <v>4.7671338020283294</v>
      </c>
      <c r="CE60" s="17">
        <f t="shared" si="147"/>
        <v>7.0031476037529421</v>
      </c>
      <c r="CG60" s="67">
        <f t="shared" si="122"/>
        <v>15.441442555575712</v>
      </c>
      <c r="CH60" s="68">
        <f t="shared" si="123"/>
        <v>40.463628838768145</v>
      </c>
      <c r="CI60" s="68">
        <f t="shared" si="124"/>
        <v>55.90507139434385</v>
      </c>
      <c r="CK60" t="str">
        <f t="shared" si="139"/>
        <v>53 Skilled construction and building trades</v>
      </c>
      <c r="CL60" s="17">
        <f t="shared" si="148"/>
        <v>5.8683656431398274</v>
      </c>
      <c r="CM60" s="17">
        <f t="shared" si="148"/>
        <v>7.1160711993479069</v>
      </c>
      <c r="CN60" s="17">
        <f t="shared" si="148"/>
        <v>6.6681283031233152</v>
      </c>
      <c r="CO60" s="17">
        <f t="shared" si="148"/>
        <v>5.6897619664016847</v>
      </c>
      <c r="CP60" s="17">
        <f t="shared" si="148"/>
        <v>2.5626367245626431</v>
      </c>
      <c r="CR60" s="67">
        <f t="shared" si="126"/>
        <v>-78.351699635103159</v>
      </c>
      <c r="CS60" s="68">
        <f t="shared" si="127"/>
        <v>16.181388344857677</v>
      </c>
      <c r="CT60" s="68">
        <f t="shared" si="128"/>
        <v>-62.170311290245472</v>
      </c>
    </row>
    <row r="61" spans="1:98" x14ac:dyDescent="0.2">
      <c r="A61" t="str">
        <f t="shared" si="95"/>
        <v>54 Textiles, printing and other skilled trades</v>
      </c>
      <c r="B61" s="17">
        <f t="shared" si="140"/>
        <v>0.57800116826409143</v>
      </c>
      <c r="C61" s="17">
        <f t="shared" si="140"/>
        <v>0.52250347230302319</v>
      </c>
      <c r="D61" s="17">
        <f t="shared" si="140"/>
        <v>0.4626747378065299</v>
      </c>
      <c r="E61" s="17">
        <f t="shared" si="140"/>
        <v>0.52985836234387562</v>
      </c>
      <c r="F61" s="17">
        <f t="shared" si="140"/>
        <v>0.58725079004981373</v>
      </c>
      <c r="H61" s="67">
        <f t="shared" si="129"/>
        <v>147.43166776085403</v>
      </c>
      <c r="I61" s="68">
        <f t="shared" si="130"/>
        <v>88.701585418383004</v>
      </c>
      <c r="J61" s="68">
        <f t="shared" si="131"/>
        <v>236.13325317923702</v>
      </c>
      <c r="L61" t="str">
        <f t="shared" si="132"/>
        <v>54 Textiles, printing and other skilled trades</v>
      </c>
      <c r="M61" s="17">
        <f t="shared" si="141"/>
        <v>0.64702078688534292</v>
      </c>
      <c r="N61" s="17">
        <f t="shared" si="141"/>
        <v>0.69142787943293738</v>
      </c>
      <c r="O61" s="17">
        <f t="shared" si="141"/>
        <v>0.68450180769618252</v>
      </c>
      <c r="P61" s="17">
        <f t="shared" si="141"/>
        <v>0.76941076353293869</v>
      </c>
      <c r="Q61" s="17">
        <f t="shared" si="141"/>
        <v>0.83779148824619876</v>
      </c>
      <c r="S61" s="67">
        <f t="shared" si="98"/>
        <v>137.72648862991329</v>
      </c>
      <c r="T61" s="68">
        <f t="shared" si="99"/>
        <v>97.552524718936979</v>
      </c>
      <c r="U61" s="68">
        <f t="shared" si="100"/>
        <v>235.2790133488503</v>
      </c>
      <c r="W61" t="str">
        <f t="shared" si="133"/>
        <v>54 Textiles, printing and other skilled trades</v>
      </c>
      <c r="X61" s="17">
        <f t="shared" si="142"/>
        <v>0.90658710370057283</v>
      </c>
      <c r="Y61" s="17">
        <f t="shared" si="142"/>
        <v>0.85423273368254748</v>
      </c>
      <c r="Z61" s="17">
        <f t="shared" si="142"/>
        <v>0.82494778803800695</v>
      </c>
      <c r="AA61" s="17">
        <f t="shared" si="142"/>
        <v>0.93493395514757383</v>
      </c>
      <c r="AB61" s="17">
        <f t="shared" si="142"/>
        <v>0.94899595753676957</v>
      </c>
      <c r="AD61" s="67">
        <f t="shared" si="102"/>
        <v>47.060822694814838</v>
      </c>
      <c r="AE61" s="68">
        <f t="shared" si="103"/>
        <v>76.941033845899412</v>
      </c>
      <c r="AF61" s="68">
        <f t="shared" si="104"/>
        <v>124.00185654071423</v>
      </c>
      <c r="AH61" t="str">
        <f t="shared" si="134"/>
        <v>54 Textiles, printing and other skilled trades</v>
      </c>
      <c r="AI61" s="17">
        <f t="shared" si="143"/>
        <v>1.2856675116374587</v>
      </c>
      <c r="AJ61" s="17">
        <f t="shared" si="143"/>
        <v>1.2406253106056002</v>
      </c>
      <c r="AK61" s="17">
        <f t="shared" si="143"/>
        <v>1.4015367912494086</v>
      </c>
      <c r="AL61" s="17">
        <f t="shared" si="143"/>
        <v>1.5739703488298256</v>
      </c>
      <c r="AM61" s="17">
        <f t="shared" si="143"/>
        <v>1.8299821567738037</v>
      </c>
      <c r="AO61" s="67">
        <f t="shared" si="106"/>
        <v>52.575522635577521</v>
      </c>
      <c r="AP61" s="68">
        <f t="shared" si="107"/>
        <v>79.799243270191923</v>
      </c>
      <c r="AQ61" s="68">
        <f t="shared" si="108"/>
        <v>132.37476590576946</v>
      </c>
      <c r="AS61" t="str">
        <f t="shared" si="135"/>
        <v>54 Textiles, printing and other skilled trades</v>
      </c>
      <c r="AT61" s="17">
        <f t="shared" si="144"/>
        <v>1.4998664882490442</v>
      </c>
      <c r="AU61" s="17">
        <f t="shared" si="144"/>
        <v>1.3665958553835904</v>
      </c>
      <c r="AV61" s="17">
        <f t="shared" si="144"/>
        <v>1.4188611168068348</v>
      </c>
      <c r="AW61" s="17">
        <f t="shared" si="144"/>
        <v>1.5993357424344774</v>
      </c>
      <c r="AX61" s="17">
        <f t="shared" si="144"/>
        <v>1.3724381227043021</v>
      </c>
      <c r="AZ61" s="67">
        <f t="shared" si="110"/>
        <v>21.346399792102702</v>
      </c>
      <c r="BA61" s="68">
        <f t="shared" si="111"/>
        <v>73.381109237055909</v>
      </c>
      <c r="BB61" s="68">
        <f t="shared" si="112"/>
        <v>94.727509029158625</v>
      </c>
      <c r="BD61" t="str">
        <f t="shared" si="136"/>
        <v>54 Textiles, printing and other skilled trades</v>
      </c>
      <c r="BE61" s="17">
        <f t="shared" si="145"/>
        <v>2.4953174603409884</v>
      </c>
      <c r="BF61" s="17">
        <f t="shared" si="145"/>
        <v>2.2882904817332279</v>
      </c>
      <c r="BG61" s="17">
        <f t="shared" si="145"/>
        <v>2.097344345074541</v>
      </c>
      <c r="BH61" s="17">
        <f t="shared" si="145"/>
        <v>2.2146387109862928</v>
      </c>
      <c r="BI61" s="17">
        <f t="shared" si="145"/>
        <v>2.119732384194402</v>
      </c>
      <c r="BK61" s="67">
        <f t="shared" si="114"/>
        <v>9.3579545711375243</v>
      </c>
      <c r="BL61" s="68">
        <f t="shared" si="115"/>
        <v>43.26190969983768</v>
      </c>
      <c r="BM61" s="68">
        <f t="shared" si="116"/>
        <v>52.619864270975199</v>
      </c>
      <c r="BO61" t="str">
        <f t="shared" si="137"/>
        <v>54 Textiles, printing and other skilled trades</v>
      </c>
      <c r="BP61" s="17">
        <f t="shared" si="146"/>
        <v>2.7752650965497718</v>
      </c>
      <c r="BQ61" s="17">
        <f t="shared" si="146"/>
        <v>2.4507254555885418</v>
      </c>
      <c r="BR61" s="17">
        <f t="shared" si="146"/>
        <v>2.586063376226559</v>
      </c>
      <c r="BS61" s="17">
        <f t="shared" si="146"/>
        <v>2.4967264696570131</v>
      </c>
      <c r="BT61" s="17">
        <f t="shared" si="146"/>
        <v>2.6707596204116473</v>
      </c>
      <c r="BV61" s="67">
        <f t="shared" si="118"/>
        <v>-24.752599785638186</v>
      </c>
      <c r="BW61" s="68">
        <f t="shared" si="119"/>
        <v>34.669327572811227</v>
      </c>
      <c r="BX61" s="68">
        <f t="shared" si="120"/>
        <v>9.9167277871730377</v>
      </c>
      <c r="BZ61" t="str">
        <f t="shared" si="138"/>
        <v>54 Textiles, printing and other skilled trades</v>
      </c>
      <c r="CA61" s="17">
        <f t="shared" si="147"/>
        <v>3.370711858325742</v>
      </c>
      <c r="CB61" s="17">
        <f t="shared" si="147"/>
        <v>3.2125448523267131</v>
      </c>
      <c r="CC61" s="17">
        <f t="shared" si="147"/>
        <v>3.2744083755097653</v>
      </c>
      <c r="CD61" s="17">
        <f t="shared" si="147"/>
        <v>3.4550099412497142</v>
      </c>
      <c r="CE61" s="17">
        <f t="shared" si="147"/>
        <v>3.5715365630222151</v>
      </c>
      <c r="CG61" s="67">
        <f t="shared" si="122"/>
        <v>-28.564442059609686</v>
      </c>
      <c r="CH61" s="68">
        <f t="shared" si="123"/>
        <v>30.931249351712047</v>
      </c>
      <c r="CI61" s="68">
        <f t="shared" si="124"/>
        <v>2.3668072921023633</v>
      </c>
      <c r="CK61" t="str">
        <f t="shared" si="139"/>
        <v>54 Textiles, printing and other skilled trades</v>
      </c>
      <c r="CL61" s="17">
        <f t="shared" si="148"/>
        <v>3.9032985553185977</v>
      </c>
      <c r="CM61" s="17">
        <f t="shared" si="148"/>
        <v>3.7942420146805813</v>
      </c>
      <c r="CN61" s="17">
        <f t="shared" si="148"/>
        <v>3.8629119297159407</v>
      </c>
      <c r="CO61" s="17">
        <f t="shared" si="148"/>
        <v>2.919498527138384</v>
      </c>
      <c r="CP61" s="17">
        <f t="shared" si="148"/>
        <v>2.1359064218504016</v>
      </c>
      <c r="CR61" s="67">
        <f t="shared" si="126"/>
        <v>-68.853580999409147</v>
      </c>
      <c r="CS61" s="68">
        <f t="shared" si="127"/>
        <v>17.25051704276758</v>
      </c>
      <c r="CT61" s="68">
        <f t="shared" si="128"/>
        <v>-51.60306395664157</v>
      </c>
    </row>
    <row r="62" spans="1:98" x14ac:dyDescent="0.2">
      <c r="A62" t="str">
        <f t="shared" si="95"/>
        <v>61 Caring personal service occupations</v>
      </c>
      <c r="B62" s="17">
        <f t="shared" si="140"/>
        <v>0.34731321287403638</v>
      </c>
      <c r="C62" s="17">
        <f t="shared" si="140"/>
        <v>0.31248770163574341</v>
      </c>
      <c r="D62" s="17">
        <f t="shared" si="140"/>
        <v>0.30354851874849564</v>
      </c>
      <c r="E62" s="17">
        <f t="shared" si="140"/>
        <v>0.33514264528255538</v>
      </c>
      <c r="F62" s="17">
        <f t="shared" si="140"/>
        <v>0.3887242077157797</v>
      </c>
      <c r="H62" s="67">
        <f t="shared" si="129"/>
        <v>149.6438831659718</v>
      </c>
      <c r="I62" s="68">
        <f t="shared" si="130"/>
        <v>98.432051298789304</v>
      </c>
      <c r="J62" s="68">
        <f t="shared" si="131"/>
        <v>248.07593446476113</v>
      </c>
      <c r="L62" t="str">
        <f t="shared" si="132"/>
        <v>61 Caring personal service occupations</v>
      </c>
      <c r="M62" s="17">
        <f t="shared" si="141"/>
        <v>2.8688846886351533</v>
      </c>
      <c r="N62" s="17">
        <f t="shared" si="141"/>
        <v>2.6294841531879989</v>
      </c>
      <c r="O62" s="17">
        <f t="shared" si="141"/>
        <v>2.635216524697507</v>
      </c>
      <c r="P62" s="17">
        <f t="shared" si="141"/>
        <v>2.8839783434997464</v>
      </c>
      <c r="Q62" s="17">
        <f t="shared" si="141"/>
        <v>3.2728304845258087</v>
      </c>
      <c r="S62" s="67">
        <f t="shared" si="98"/>
        <v>141.22562361954419</v>
      </c>
      <c r="T62" s="68">
        <f t="shared" si="99"/>
        <v>102.98480541879781</v>
      </c>
      <c r="U62" s="68">
        <f t="shared" si="100"/>
        <v>244.210429038342</v>
      </c>
      <c r="W62" t="str">
        <f t="shared" si="133"/>
        <v>61 Caring personal service occupations</v>
      </c>
      <c r="X62" s="17">
        <f t="shared" si="142"/>
        <v>4.7850104697983458</v>
      </c>
      <c r="Y62" s="17">
        <f t="shared" si="142"/>
        <v>4.4554547791213501</v>
      </c>
      <c r="Z62" s="17">
        <f t="shared" si="142"/>
        <v>4.582533963021362</v>
      </c>
      <c r="AA62" s="17">
        <f t="shared" si="142"/>
        <v>4.9750798309147415</v>
      </c>
      <c r="AB62" s="17">
        <f t="shared" si="142"/>
        <v>5.3535110733120606</v>
      </c>
      <c r="AD62" s="67">
        <f t="shared" si="102"/>
        <v>49.345487227390791</v>
      </c>
      <c r="AE62" s="68">
        <f t="shared" si="103"/>
        <v>87.80366553260626</v>
      </c>
      <c r="AF62" s="68">
        <f t="shared" si="104"/>
        <v>137.14915275999704</v>
      </c>
      <c r="AH62" t="str">
        <f t="shared" si="134"/>
        <v>61 Caring personal service occupations</v>
      </c>
      <c r="AI62" s="17">
        <f t="shared" si="143"/>
        <v>14.080981806407683</v>
      </c>
      <c r="AJ62" s="17">
        <f t="shared" si="143"/>
        <v>13.012654774893505</v>
      </c>
      <c r="AK62" s="17">
        <f t="shared" si="143"/>
        <v>13.298477919248629</v>
      </c>
      <c r="AL62" s="17">
        <f t="shared" si="143"/>
        <v>13.831863905690939</v>
      </c>
      <c r="AM62" s="17">
        <f t="shared" si="143"/>
        <v>13.259647201199224</v>
      </c>
      <c r="AO62" s="67">
        <f t="shared" si="106"/>
        <v>16.512506795049106</v>
      </c>
      <c r="AP62" s="68">
        <f t="shared" si="107"/>
        <v>67.885556215166361</v>
      </c>
      <c r="AQ62" s="68">
        <f t="shared" si="108"/>
        <v>84.398063010215466</v>
      </c>
      <c r="AS62" t="str">
        <f t="shared" si="135"/>
        <v>61 Caring personal service occupations</v>
      </c>
      <c r="AT62" s="17">
        <f t="shared" si="144"/>
        <v>8.3378043861414515</v>
      </c>
      <c r="AU62" s="17">
        <f t="shared" si="144"/>
        <v>7.690861348925619</v>
      </c>
      <c r="AV62" s="17">
        <f t="shared" si="144"/>
        <v>8.1993138645799082</v>
      </c>
      <c r="AW62" s="17">
        <f t="shared" si="144"/>
        <v>8.4082034995250332</v>
      </c>
      <c r="AX62" s="17">
        <f t="shared" si="144"/>
        <v>8.3782867042231821</v>
      </c>
      <c r="AZ62" s="67">
        <f t="shared" si="110"/>
        <v>28.189282445059277</v>
      </c>
      <c r="BA62" s="68">
        <f t="shared" si="111"/>
        <v>74.137473637696843</v>
      </c>
      <c r="BB62" s="68">
        <f t="shared" si="112"/>
        <v>102.32675608275612</v>
      </c>
      <c r="BD62" t="str">
        <f t="shared" si="136"/>
        <v>61 Caring personal service occupations</v>
      </c>
      <c r="BE62" s="17">
        <f t="shared" si="145"/>
        <v>12.053092652846269</v>
      </c>
      <c r="BF62" s="17">
        <f t="shared" si="145"/>
        <v>13.018392916735582</v>
      </c>
      <c r="BG62" s="17">
        <f t="shared" si="145"/>
        <v>12.881381105126067</v>
      </c>
      <c r="BH62" s="17">
        <f t="shared" si="145"/>
        <v>14.352650040247102</v>
      </c>
      <c r="BI62" s="17">
        <f t="shared" si="145"/>
        <v>16.440404847082547</v>
      </c>
      <c r="BK62" s="67">
        <f t="shared" si="114"/>
        <v>38.098563724964812</v>
      </c>
      <c r="BL62" s="68">
        <f t="shared" si="115"/>
        <v>65.332529921937265</v>
      </c>
      <c r="BM62" s="68">
        <f t="shared" si="116"/>
        <v>103.43109364690208</v>
      </c>
      <c r="BO62" t="str">
        <f t="shared" si="137"/>
        <v>61 Caring personal service occupations</v>
      </c>
      <c r="BP62" s="17">
        <f t="shared" si="146"/>
        <v>10.508575237798421</v>
      </c>
      <c r="BQ62" s="17">
        <f t="shared" si="146"/>
        <v>10.443170282428285</v>
      </c>
      <c r="BR62" s="17">
        <f t="shared" si="146"/>
        <v>9.3039765246800332</v>
      </c>
      <c r="BS62" s="17">
        <f t="shared" si="146"/>
        <v>9.7202224125154899</v>
      </c>
      <c r="BT62" s="17">
        <f t="shared" si="146"/>
        <v>9.2604176428728504</v>
      </c>
      <c r="BV62" s="67">
        <f t="shared" si="118"/>
        <v>-27.479994241902446</v>
      </c>
      <c r="BW62" s="68">
        <f t="shared" si="119"/>
        <v>45.204280179013253</v>
      </c>
      <c r="BX62" s="68">
        <f t="shared" si="120"/>
        <v>17.724285937110807</v>
      </c>
      <c r="BZ62" t="str">
        <f t="shared" si="138"/>
        <v>61 Caring personal service occupations</v>
      </c>
      <c r="CA62" s="17">
        <f t="shared" si="147"/>
        <v>4.2790408169074281</v>
      </c>
      <c r="CB62" s="17">
        <f t="shared" si="147"/>
        <v>2.4087179957374412</v>
      </c>
      <c r="CC62" s="17">
        <f t="shared" si="147"/>
        <v>2.3825260798314245</v>
      </c>
      <c r="CD62" s="17">
        <f t="shared" si="147"/>
        <v>1.9013550079858623</v>
      </c>
      <c r="CE62" s="17">
        <f t="shared" si="147"/>
        <v>2.5971679637070992</v>
      </c>
      <c r="CG62" s="67">
        <f t="shared" si="122"/>
        <v>-28.607176680797302</v>
      </c>
      <c r="CH62" s="68">
        <f t="shared" si="123"/>
        <v>22.467867552522858</v>
      </c>
      <c r="CI62" s="68">
        <f t="shared" si="124"/>
        <v>-6.1393091282744479</v>
      </c>
      <c r="CK62" t="str">
        <f t="shared" si="139"/>
        <v>61 Caring personal service occupations</v>
      </c>
      <c r="CL62" s="17">
        <f t="shared" si="148"/>
        <v>1.847089171083192</v>
      </c>
      <c r="CM62" s="17">
        <f t="shared" si="148"/>
        <v>1.5684329233691126</v>
      </c>
      <c r="CN62" s="17">
        <f t="shared" si="148"/>
        <v>1.5826801020861598</v>
      </c>
      <c r="CO62" s="17">
        <f t="shared" si="148"/>
        <v>2.2348356474366105</v>
      </c>
      <c r="CP62" s="17">
        <f t="shared" si="148"/>
        <v>3.3662200804006273</v>
      </c>
      <c r="CR62" s="67">
        <f t="shared" si="126"/>
        <v>19.809173174116427</v>
      </c>
      <c r="CS62" s="68">
        <f t="shared" si="127"/>
        <v>37.167872080280375</v>
      </c>
      <c r="CT62" s="68">
        <f t="shared" si="128"/>
        <v>56.977045254396799</v>
      </c>
    </row>
    <row r="63" spans="1:98" x14ac:dyDescent="0.2">
      <c r="A63" t="str">
        <f t="shared" si="95"/>
        <v>62 Leisure, travel and related personal service occupations</v>
      </c>
      <c r="B63" s="17">
        <f t="shared" si="140"/>
        <v>0.18117581630317017</v>
      </c>
      <c r="C63" s="17">
        <f t="shared" si="140"/>
        <v>0.29142680429712375</v>
      </c>
      <c r="D63" s="17">
        <f t="shared" si="140"/>
        <v>0.30693821649771058</v>
      </c>
      <c r="E63" s="17">
        <f t="shared" si="140"/>
        <v>0.34072251450070956</v>
      </c>
      <c r="F63" s="17">
        <f t="shared" si="140"/>
        <v>0.36938660673078821</v>
      </c>
      <c r="H63" s="67">
        <f t="shared" si="129"/>
        <v>134.60520305375525</v>
      </c>
      <c r="I63" s="68">
        <f t="shared" si="130"/>
        <v>100.74735889947269</v>
      </c>
      <c r="J63" s="68">
        <f t="shared" si="131"/>
        <v>235.35256195322796</v>
      </c>
      <c r="L63" t="str">
        <f t="shared" si="132"/>
        <v>62 Leisure, travel and related personal service occupations</v>
      </c>
      <c r="M63" s="17">
        <f t="shared" si="141"/>
        <v>0.57194790607169887</v>
      </c>
      <c r="N63" s="17">
        <f t="shared" si="141"/>
        <v>0.5361448046587679</v>
      </c>
      <c r="O63" s="17">
        <f t="shared" si="141"/>
        <v>0.47323935628129937</v>
      </c>
      <c r="P63" s="17">
        <f t="shared" si="141"/>
        <v>0.53463073195959054</v>
      </c>
      <c r="Q63" s="17">
        <f t="shared" si="141"/>
        <v>0.63640810334283704</v>
      </c>
      <c r="S63" s="67">
        <f t="shared" si="98"/>
        <v>161.19873974740327</v>
      </c>
      <c r="T63" s="68">
        <f t="shared" si="99"/>
        <v>100.79447809009746</v>
      </c>
      <c r="U63" s="68">
        <f t="shared" si="100"/>
        <v>261.99321783750071</v>
      </c>
      <c r="W63" t="str">
        <f t="shared" si="133"/>
        <v>62 Leisure, travel and related personal service occupations</v>
      </c>
      <c r="X63" s="17">
        <f t="shared" si="142"/>
        <v>1.0811588671138077</v>
      </c>
      <c r="Y63" s="17">
        <f t="shared" si="142"/>
        <v>1.2005911779348573</v>
      </c>
      <c r="Z63" s="17">
        <f t="shared" si="142"/>
        <v>1.0995926519091763</v>
      </c>
      <c r="AA63" s="17">
        <f t="shared" si="142"/>
        <v>1.3189025964124148</v>
      </c>
      <c r="AB63" s="17">
        <f t="shared" si="142"/>
        <v>1.5931547086329583</v>
      </c>
      <c r="AD63" s="67">
        <f t="shared" si="102"/>
        <v>85.218862887389562</v>
      </c>
      <c r="AE63" s="68">
        <f t="shared" si="103"/>
        <v>95.713027174854176</v>
      </c>
      <c r="AF63" s="68">
        <f t="shared" si="104"/>
        <v>180.93189006224372</v>
      </c>
      <c r="AH63" t="str">
        <f t="shared" si="134"/>
        <v>62 Leisure, travel and related personal service occupations</v>
      </c>
      <c r="AI63" s="17">
        <f t="shared" si="143"/>
        <v>2.2105763310783924</v>
      </c>
      <c r="AJ63" s="17">
        <f t="shared" si="143"/>
        <v>2.7053092005019574</v>
      </c>
      <c r="AK63" s="17">
        <f t="shared" si="143"/>
        <v>2.5228050146673611</v>
      </c>
      <c r="AL63" s="17">
        <f t="shared" si="143"/>
        <v>3.0247343936165483</v>
      </c>
      <c r="AM63" s="17">
        <f t="shared" si="143"/>
        <v>3.77650875571348</v>
      </c>
      <c r="AO63" s="67">
        <f t="shared" si="106"/>
        <v>74.923969542744246</v>
      </c>
      <c r="AP63" s="68">
        <f t="shared" si="107"/>
        <v>92.109804253750156</v>
      </c>
      <c r="AQ63" s="68">
        <f t="shared" si="108"/>
        <v>167.03377379649439</v>
      </c>
      <c r="AS63" t="str">
        <f t="shared" si="135"/>
        <v>62 Leisure, travel and related personal service occupations</v>
      </c>
      <c r="AT63" s="17">
        <f t="shared" si="144"/>
        <v>2.5651975203637805</v>
      </c>
      <c r="AU63" s="17">
        <f t="shared" si="144"/>
        <v>3.1391544765606461</v>
      </c>
      <c r="AV63" s="17">
        <f t="shared" si="144"/>
        <v>2.9347599166932383</v>
      </c>
      <c r="AW63" s="17">
        <f t="shared" si="144"/>
        <v>3.4502724375685254</v>
      </c>
      <c r="AX63" s="17">
        <f t="shared" si="144"/>
        <v>4.3218120930076527</v>
      </c>
      <c r="AZ63" s="67">
        <f t="shared" si="110"/>
        <v>84.742710654633896</v>
      </c>
      <c r="BA63" s="68">
        <f t="shared" si="111"/>
        <v>95.214708655968138</v>
      </c>
      <c r="BB63" s="68">
        <f t="shared" si="112"/>
        <v>179.95741931060203</v>
      </c>
      <c r="BD63" t="str">
        <f t="shared" si="136"/>
        <v>62 Leisure, travel and related personal service occupations</v>
      </c>
      <c r="BE63" s="17">
        <f t="shared" si="145"/>
        <v>2.5773154015893711</v>
      </c>
      <c r="BF63" s="17">
        <f t="shared" si="145"/>
        <v>2.6939298441851207</v>
      </c>
      <c r="BG63" s="17">
        <f t="shared" si="145"/>
        <v>2.3271594574322045</v>
      </c>
      <c r="BH63" s="17">
        <f t="shared" si="145"/>
        <v>2.3620373081479547</v>
      </c>
      <c r="BI63" s="17">
        <f t="shared" si="145"/>
        <v>2.2889726554780427</v>
      </c>
      <c r="BK63" s="67">
        <f t="shared" si="114"/>
        <v>6.4274227815319911</v>
      </c>
      <c r="BL63" s="68">
        <f t="shared" si="115"/>
        <v>45.701942145275815</v>
      </c>
      <c r="BM63" s="68">
        <f t="shared" si="116"/>
        <v>52.12936492680781</v>
      </c>
      <c r="BO63" t="str">
        <f t="shared" si="137"/>
        <v>62 Leisure, travel and related personal service occupations</v>
      </c>
      <c r="BP63" s="17">
        <f t="shared" si="146"/>
        <v>2.9272800377324106</v>
      </c>
      <c r="BQ63" s="17">
        <f t="shared" si="146"/>
        <v>3.150495271924203</v>
      </c>
      <c r="BR63" s="17">
        <f t="shared" si="146"/>
        <v>2.7291210474672334</v>
      </c>
      <c r="BS63" s="17">
        <f t="shared" si="146"/>
        <v>2.784604890357036</v>
      </c>
      <c r="BT63" s="17">
        <f t="shared" si="146"/>
        <v>2.8024629241342947</v>
      </c>
      <c r="BV63" s="67">
        <f t="shared" si="118"/>
        <v>-25.180820878596982</v>
      </c>
      <c r="BW63" s="68">
        <f t="shared" si="119"/>
        <v>43.712414616391342</v>
      </c>
      <c r="BX63" s="68">
        <f t="shared" si="120"/>
        <v>18.53159373779436</v>
      </c>
      <c r="BZ63" t="str">
        <f t="shared" si="138"/>
        <v>62 Leisure, travel and related personal service occupations</v>
      </c>
      <c r="CA63" s="17">
        <f t="shared" si="147"/>
        <v>2.7185872079361331</v>
      </c>
      <c r="CB63" s="17">
        <f t="shared" si="147"/>
        <v>3.1086724801676935</v>
      </c>
      <c r="CC63" s="17">
        <f t="shared" si="147"/>
        <v>3.0996992161120756</v>
      </c>
      <c r="CD63" s="17">
        <f t="shared" si="147"/>
        <v>3.666109500361872</v>
      </c>
      <c r="CE63" s="17">
        <f t="shared" si="147"/>
        <v>5.1215036970619856</v>
      </c>
      <c r="CG63" s="67">
        <f t="shared" si="122"/>
        <v>8.210678508548849</v>
      </c>
      <c r="CH63" s="68">
        <f t="shared" si="123"/>
        <v>42.201753513835364</v>
      </c>
      <c r="CI63" s="68">
        <f t="shared" si="124"/>
        <v>50.412432022384209</v>
      </c>
      <c r="CK63" t="str">
        <f t="shared" si="139"/>
        <v>62 Leisure, travel and related personal service occupations</v>
      </c>
      <c r="CL63" s="17">
        <f t="shared" si="148"/>
        <v>2.9586298203850223</v>
      </c>
      <c r="CM63" s="17">
        <f t="shared" si="148"/>
        <v>2.7763621675892449</v>
      </c>
      <c r="CN63" s="17">
        <f t="shared" si="148"/>
        <v>2.5610043415021284</v>
      </c>
      <c r="CO63" s="17">
        <f t="shared" si="148"/>
        <v>2.5315712458619064</v>
      </c>
      <c r="CP63" s="17">
        <f t="shared" si="148"/>
        <v>2.3884243610090738</v>
      </c>
      <c r="CR63" s="67">
        <f t="shared" si="126"/>
        <v>-47.465828869635104</v>
      </c>
      <c r="CS63" s="68">
        <f t="shared" si="127"/>
        <v>24.448924348502448</v>
      </c>
      <c r="CT63" s="68">
        <f t="shared" si="128"/>
        <v>-23.016904521132648</v>
      </c>
    </row>
    <row r="64" spans="1:98" x14ac:dyDescent="0.2">
      <c r="A64" t="str">
        <f t="shared" si="95"/>
        <v>63 Community and civil enforcement occupations</v>
      </c>
      <c r="B64" s="17">
        <f t="shared" si="140"/>
        <v>1.2287067790325108E-2</v>
      </c>
      <c r="C64" s="17">
        <f t="shared" si="140"/>
        <v>9.135977303167923E-3</v>
      </c>
      <c r="D64" s="17">
        <f t="shared" si="140"/>
        <v>1.0436347419816085E-2</v>
      </c>
      <c r="E64" s="17">
        <f t="shared" si="140"/>
        <v>1.0506097292295088E-2</v>
      </c>
      <c r="F64" s="17">
        <f t="shared" si="140"/>
        <v>1.1656334265930334E-2</v>
      </c>
      <c r="H64" s="67">
        <f t="shared" si="129"/>
        <v>117.73132989841257</v>
      </c>
      <c r="I64" s="68">
        <f t="shared" si="130"/>
        <v>80.034970797562309</v>
      </c>
      <c r="J64" s="68">
        <f t="shared" si="131"/>
        <v>197.76630069597488</v>
      </c>
      <c r="L64" t="str">
        <f t="shared" si="132"/>
        <v>63 Community and civil enforcement occupations</v>
      </c>
      <c r="M64" s="17">
        <f t="shared" si="141"/>
        <v>3.059116093130828E-2</v>
      </c>
      <c r="N64" s="17">
        <f t="shared" si="141"/>
        <v>2.2598862114171787E-2</v>
      </c>
      <c r="O64" s="17">
        <f t="shared" si="141"/>
        <v>2.9884788073265025E-2</v>
      </c>
      <c r="P64" s="17">
        <f t="shared" si="141"/>
        <v>2.4113054973364804E-2</v>
      </c>
      <c r="Q64" s="17">
        <f t="shared" si="141"/>
        <v>2.6912700857022204E-2</v>
      </c>
      <c r="S64" s="67">
        <f t="shared" si="98"/>
        <v>74.913501984808136</v>
      </c>
      <c r="T64" s="68">
        <f t="shared" si="99"/>
        <v>63.912991907100803</v>
      </c>
      <c r="U64" s="68">
        <f t="shared" si="100"/>
        <v>138.82649389190894</v>
      </c>
      <c r="W64" t="str">
        <f t="shared" si="133"/>
        <v>63 Community and civil enforcement occupations</v>
      </c>
      <c r="X64" s="17">
        <f t="shared" si="142"/>
        <v>6.1342697483928801E-2</v>
      </c>
      <c r="Y64" s="17">
        <f t="shared" si="142"/>
        <v>5.6547410141041497E-2</v>
      </c>
      <c r="Z64" s="17">
        <f t="shared" si="142"/>
        <v>6.3157559240844777E-2</v>
      </c>
      <c r="AA64" s="17">
        <f t="shared" si="142"/>
        <v>6.2518081238816137E-2</v>
      </c>
      <c r="AB64" s="17">
        <f t="shared" si="142"/>
        <v>6.4557369446271468E-2</v>
      </c>
      <c r="AD64" s="67">
        <f t="shared" si="102"/>
        <v>30.67110951381996</v>
      </c>
      <c r="AE64" s="68">
        <f t="shared" si="103"/>
        <v>75.829164113142937</v>
      </c>
      <c r="AF64" s="68">
        <f t="shared" si="104"/>
        <v>106.50027362696288</v>
      </c>
      <c r="AH64" t="str">
        <f t="shared" si="134"/>
        <v>63 Community and civil enforcement occupations</v>
      </c>
      <c r="AI64" s="17">
        <f t="shared" si="143"/>
        <v>6.0622426835428879E-2</v>
      </c>
      <c r="AJ64" s="17">
        <f t="shared" si="143"/>
        <v>5.7660493823021346E-2</v>
      </c>
      <c r="AK64" s="17">
        <f t="shared" si="143"/>
        <v>7.5663925245215785E-2</v>
      </c>
      <c r="AL64" s="17">
        <f t="shared" si="143"/>
        <v>6.4941562902191899E-2</v>
      </c>
      <c r="AM64" s="17">
        <f t="shared" si="143"/>
        <v>6.8862454976152981E-2</v>
      </c>
      <c r="AO64" s="67">
        <f t="shared" si="106"/>
        <v>6.3496702599567731</v>
      </c>
      <c r="AP64" s="68">
        <f t="shared" si="107"/>
        <v>58.014815632747499</v>
      </c>
      <c r="AQ64" s="68">
        <f t="shared" si="108"/>
        <v>64.364485892704266</v>
      </c>
      <c r="AS64" t="str">
        <f t="shared" si="135"/>
        <v>63 Community and civil enforcement occupations</v>
      </c>
      <c r="AT64" s="17">
        <f t="shared" si="144"/>
        <v>6.5416895564434543E-2</v>
      </c>
      <c r="AU64" s="17">
        <f t="shared" si="144"/>
        <v>5.256034526757062E-2</v>
      </c>
      <c r="AV64" s="17">
        <f t="shared" si="144"/>
        <v>6.8825536756477138E-2</v>
      </c>
      <c r="AW64" s="17">
        <f t="shared" si="144"/>
        <v>5.0119014984581677E-2</v>
      </c>
      <c r="AX64" s="17">
        <f t="shared" si="144"/>
        <v>4.532339580454834E-2</v>
      </c>
      <c r="AZ64" s="67">
        <f t="shared" si="110"/>
        <v>-17.38729465758497</v>
      </c>
      <c r="BA64" s="68">
        <f t="shared" si="111"/>
        <v>49.585757262461101</v>
      </c>
      <c r="BB64" s="68">
        <f t="shared" si="112"/>
        <v>32.198462604876127</v>
      </c>
      <c r="BD64" t="str">
        <f t="shared" si="136"/>
        <v>63 Community and civil enforcement occupations</v>
      </c>
      <c r="BE64" s="17">
        <f t="shared" si="145"/>
        <v>7.4902427036610014E-2</v>
      </c>
      <c r="BF64" s="17">
        <f t="shared" si="145"/>
        <v>4.7545911298121267E-2</v>
      </c>
      <c r="BG64" s="17">
        <f t="shared" si="145"/>
        <v>7.2355949436110553E-2</v>
      </c>
      <c r="BH64" s="17">
        <f t="shared" si="145"/>
        <v>4.4067401537513373E-2</v>
      </c>
      <c r="BI64" s="17">
        <f t="shared" si="145"/>
        <v>4.2686986104606466E-2</v>
      </c>
      <c r="BK64" s="67">
        <f t="shared" si="114"/>
        <v>-36.164784425193815</v>
      </c>
      <c r="BL64" s="68">
        <f t="shared" si="115"/>
        <v>23.069067544075139</v>
      </c>
      <c r="BM64" s="68">
        <f t="shared" si="116"/>
        <v>-13.095716881118674</v>
      </c>
      <c r="BO64" t="str">
        <f t="shared" si="137"/>
        <v>63 Community and civil enforcement occupations</v>
      </c>
      <c r="BP64" s="17">
        <f t="shared" si="146"/>
        <v>0.10280854035113161</v>
      </c>
      <c r="BQ64" s="17">
        <f t="shared" si="146"/>
        <v>8.1242868498236781E-2</v>
      </c>
      <c r="BR64" s="17">
        <f t="shared" si="146"/>
        <v>0.12096561149542705</v>
      </c>
      <c r="BS64" s="17">
        <f t="shared" si="146"/>
        <v>8.7363872234542228E-2</v>
      </c>
      <c r="BT64" s="17">
        <f t="shared" si="146"/>
        <v>9.5375018392958671E-2</v>
      </c>
      <c r="BV64" s="67">
        <f t="shared" si="118"/>
        <v>-42.552838915458473</v>
      </c>
      <c r="BW64" s="68">
        <f t="shared" si="119"/>
        <v>29.04171939285337</v>
      </c>
      <c r="BX64" s="68">
        <f t="shared" si="120"/>
        <v>-13.511119522605103</v>
      </c>
      <c r="BZ64" t="str">
        <f t="shared" si="138"/>
        <v>63 Community and civil enforcement occupations</v>
      </c>
      <c r="CA64" s="17">
        <f t="shared" si="147"/>
        <v>0.14079979143257892</v>
      </c>
      <c r="CB64" s="17">
        <f t="shared" si="147"/>
        <v>0.12030819039921653</v>
      </c>
      <c r="CC64" s="17">
        <f t="shared" si="147"/>
        <v>0.1647552517044337</v>
      </c>
      <c r="CD64" s="17">
        <f t="shared" si="147"/>
        <v>0.14358384859049736</v>
      </c>
      <c r="CE64" s="17">
        <f t="shared" si="147"/>
        <v>0.20407604349796168</v>
      </c>
      <c r="CG64" s="67">
        <f t="shared" si="122"/>
        <v>-18.876824583114491</v>
      </c>
      <c r="CH64" s="68">
        <f t="shared" si="123"/>
        <v>28.723368745851797</v>
      </c>
      <c r="CI64" s="68">
        <f t="shared" si="124"/>
        <v>9.846544162737306</v>
      </c>
      <c r="CK64" t="str">
        <f t="shared" si="139"/>
        <v>63 Community and civil enforcement occupations</v>
      </c>
      <c r="CL64" s="17">
        <f t="shared" si="148"/>
        <v>0.1174660372027234</v>
      </c>
      <c r="CM64" s="17">
        <f t="shared" si="148"/>
        <v>8.9174631813499092E-2</v>
      </c>
      <c r="CN64" s="17">
        <f t="shared" si="148"/>
        <v>0.16021436278964699</v>
      </c>
      <c r="CO64" s="17">
        <f t="shared" si="148"/>
        <v>9.1548345199606404E-2</v>
      </c>
      <c r="CP64" s="17">
        <f t="shared" si="148"/>
        <v>0.100755455382565</v>
      </c>
      <c r="CR64" s="67">
        <f t="shared" si="126"/>
        <v>-64.575165464222508</v>
      </c>
      <c r="CS64" s="68">
        <f t="shared" si="127"/>
        <v>12.755838288538179</v>
      </c>
      <c r="CT64" s="68">
        <f t="shared" si="128"/>
        <v>-51.819327175684336</v>
      </c>
    </row>
    <row r="65" spans="1:98" x14ac:dyDescent="0.2">
      <c r="A65" t="str">
        <f t="shared" si="95"/>
        <v>71 Sales occupations</v>
      </c>
      <c r="B65" s="17">
        <f t="shared" ref="B65:F70" si="149">B28/B$35*100</f>
        <v>1.1955262796042254</v>
      </c>
      <c r="C65" s="17">
        <f t="shared" si="149"/>
        <v>1.0851450567041736</v>
      </c>
      <c r="D65" s="17">
        <f t="shared" si="149"/>
        <v>0.94222337341136175</v>
      </c>
      <c r="E65" s="17">
        <f t="shared" si="149"/>
        <v>0.95574559296440942</v>
      </c>
      <c r="F65" s="17">
        <f t="shared" si="149"/>
        <v>0.94533298962599754</v>
      </c>
      <c r="H65" s="67">
        <f t="shared" si="129"/>
        <v>95.586286339000253</v>
      </c>
      <c r="I65" s="68">
        <f t="shared" si="130"/>
        <v>66.702878070102344</v>
      </c>
      <c r="J65" s="68">
        <f t="shared" si="131"/>
        <v>162.2891644091026</v>
      </c>
      <c r="L65" t="str">
        <f t="shared" si="132"/>
        <v>71 Sales occupations</v>
      </c>
      <c r="M65" s="17">
        <f t="shared" ref="M65:Q70" si="150">M28/M$35*100</f>
        <v>2.4686880142677636</v>
      </c>
      <c r="N65" s="17">
        <f t="shared" si="150"/>
        <v>2.1427351888575199</v>
      </c>
      <c r="O65" s="17">
        <f t="shared" si="150"/>
        <v>2.0789608477643777</v>
      </c>
      <c r="P65" s="17">
        <f t="shared" si="150"/>
        <v>2.1552085580677809</v>
      </c>
      <c r="Q65" s="17">
        <f t="shared" si="150"/>
        <v>2.4833843058540364</v>
      </c>
      <c r="S65" s="67">
        <f t="shared" si="98"/>
        <v>132.01381912984888</v>
      </c>
      <c r="T65" s="68">
        <f t="shared" si="99"/>
        <v>77.551810046428471</v>
      </c>
      <c r="U65" s="68">
        <f t="shared" si="100"/>
        <v>209.56562917627738</v>
      </c>
      <c r="W65" t="str">
        <f t="shared" si="133"/>
        <v>71 Sales occupations</v>
      </c>
      <c r="X65" s="17">
        <f t="shared" ref="X65:AB70" si="151">X28/X$35*100</f>
        <v>4.7112303860473252</v>
      </c>
      <c r="Y65" s="17">
        <f t="shared" si="151"/>
        <v>4.3052411423954702</v>
      </c>
      <c r="Z65" s="17">
        <f t="shared" si="151"/>
        <v>4.4390568026939876</v>
      </c>
      <c r="AA65" s="17">
        <f t="shared" si="151"/>
        <v>4.4823266926191296</v>
      </c>
      <c r="AB65" s="17">
        <f t="shared" si="151"/>
        <v>4.9397653195087123</v>
      </c>
      <c r="AD65" s="67">
        <f t="shared" si="102"/>
        <v>42.25734712999445</v>
      </c>
      <c r="AE65" s="68">
        <f t="shared" si="103"/>
        <v>70.433931882541216</v>
      </c>
      <c r="AF65" s="68">
        <f t="shared" si="104"/>
        <v>112.69127901253569</v>
      </c>
      <c r="AH65" t="str">
        <f t="shared" si="134"/>
        <v>71 Sales occupations</v>
      </c>
      <c r="AI65" s="17">
        <f t="shared" ref="AI65:AM70" si="152">AI28/AI$35*100</f>
        <v>5.2088381841343612</v>
      </c>
      <c r="AJ65" s="17">
        <f t="shared" si="152"/>
        <v>5.2963795694103668</v>
      </c>
      <c r="AK65" s="17">
        <f t="shared" si="152"/>
        <v>5.6548800416188794</v>
      </c>
      <c r="AL65" s="17">
        <f t="shared" si="152"/>
        <v>5.8411008119927654</v>
      </c>
      <c r="AM65" s="17">
        <f t="shared" si="152"/>
        <v>6.6264102110432752</v>
      </c>
      <c r="AO65" s="67">
        <f t="shared" si="106"/>
        <v>36.929630076177325</v>
      </c>
      <c r="AP65" s="68">
        <f t="shared" si="107"/>
        <v>69.405304887844153</v>
      </c>
      <c r="AQ65" s="68">
        <f t="shared" si="108"/>
        <v>106.33493496402147</v>
      </c>
      <c r="AS65" t="str">
        <f t="shared" si="135"/>
        <v>71 Sales occupations</v>
      </c>
      <c r="AT65" s="17">
        <f t="shared" ref="AT65:AX70" si="153">AT28/AT$35*100</f>
        <v>4.7790261322213503</v>
      </c>
      <c r="AU65" s="17">
        <f t="shared" si="153"/>
        <v>4.199024841543002</v>
      </c>
      <c r="AV65" s="17">
        <f t="shared" si="153"/>
        <v>4.2732897621484822</v>
      </c>
      <c r="AW65" s="17">
        <f t="shared" si="153"/>
        <v>4.075352334880562</v>
      </c>
      <c r="AX65" s="17">
        <f t="shared" si="153"/>
        <v>4.1896900904071304</v>
      </c>
      <c r="AZ65" s="67">
        <f t="shared" si="110"/>
        <v>22.996730510559804</v>
      </c>
      <c r="BA65" s="68">
        <f t="shared" si="111"/>
        <v>56.725269484024409</v>
      </c>
      <c r="BB65" s="68">
        <f t="shared" si="112"/>
        <v>79.721999994584209</v>
      </c>
      <c r="BD65" t="str">
        <f t="shared" si="136"/>
        <v>71 Sales occupations</v>
      </c>
      <c r="BE65" s="17">
        <f t="shared" ref="BE65:BI70" si="154">BE28/BE$35*100</f>
        <v>9.1900684587015604</v>
      </c>
      <c r="BF65" s="17">
        <f t="shared" si="154"/>
        <v>8.5695494190931321</v>
      </c>
      <c r="BG65" s="17">
        <f t="shared" si="154"/>
        <v>8.93046398673944</v>
      </c>
      <c r="BH65" s="17">
        <f t="shared" si="154"/>
        <v>8.5291174722151677</v>
      </c>
      <c r="BI65" s="17">
        <f t="shared" si="154"/>
        <v>8.8075421549306476</v>
      </c>
      <c r="BK65" s="67">
        <f t="shared" si="114"/>
        <v>6.7136046970668133</v>
      </c>
      <c r="BL65" s="68">
        <f t="shared" si="115"/>
        <v>44.258947042332707</v>
      </c>
      <c r="BM65" s="68">
        <f t="shared" si="116"/>
        <v>50.97255173939952</v>
      </c>
      <c r="BO65" t="str">
        <f t="shared" si="137"/>
        <v>71 Sales occupations</v>
      </c>
      <c r="BP65" s="17">
        <f t="shared" ref="BP65:BT70" si="155">BP28/BP$35*100</f>
        <v>10.211933814873881</v>
      </c>
      <c r="BQ65" s="17">
        <f t="shared" si="155"/>
        <v>9.3527479739644086</v>
      </c>
      <c r="BR65" s="17">
        <f t="shared" si="155"/>
        <v>9.2740356445403371</v>
      </c>
      <c r="BS65" s="17">
        <f t="shared" si="155"/>
        <v>8.6114610977285899</v>
      </c>
      <c r="BT65" s="17">
        <f t="shared" si="155"/>
        <v>8.2979547418142126</v>
      </c>
      <c r="BV65" s="67">
        <f t="shared" si="118"/>
        <v>-34.807420817953712</v>
      </c>
      <c r="BW65" s="68">
        <f t="shared" si="119"/>
        <v>38.467588795838466</v>
      </c>
      <c r="BX65" s="68">
        <f t="shared" si="120"/>
        <v>3.6601679778847567</v>
      </c>
      <c r="BZ65" t="str">
        <f t="shared" si="138"/>
        <v>71 Sales occupations</v>
      </c>
      <c r="CA65" s="17">
        <f t="shared" ref="CA65:CE70" si="156">CA28/CA$35*100</f>
        <v>10.039305451701033</v>
      </c>
      <c r="CB65" s="17">
        <f t="shared" si="156"/>
        <v>9.6717852771379746</v>
      </c>
      <c r="CC65" s="17">
        <f t="shared" si="156"/>
        <v>10.320719958076184</v>
      </c>
      <c r="CD65" s="17">
        <f t="shared" si="156"/>
        <v>9.3428660188189756</v>
      </c>
      <c r="CE65" s="17">
        <f t="shared" si="156"/>
        <v>4.6325725773942068</v>
      </c>
      <c r="CG65" s="67">
        <f t="shared" si="122"/>
        <v>-70.602904649115615</v>
      </c>
      <c r="CH65" s="68">
        <f t="shared" si="123"/>
        <v>22.424417760486246</v>
      </c>
      <c r="CI65" s="68">
        <f t="shared" si="124"/>
        <v>-48.178486888629365</v>
      </c>
      <c r="CK65" t="str">
        <f t="shared" si="139"/>
        <v>71 Sales occupations</v>
      </c>
      <c r="CL65" s="17">
        <f t="shared" ref="CL65:CP70" si="157">CL28/CL$35*100</f>
        <v>12.600241755728486</v>
      </c>
      <c r="CM65" s="17">
        <f t="shared" si="157"/>
        <v>10.713960720592283</v>
      </c>
      <c r="CN65" s="17">
        <f t="shared" si="157"/>
        <v>10.45970913254051</v>
      </c>
      <c r="CO65" s="17">
        <f t="shared" si="157"/>
        <v>8.2994098177741211</v>
      </c>
      <c r="CP65" s="17">
        <f t="shared" si="157"/>
        <v>7.467238021892916</v>
      </c>
      <c r="CR65" s="67">
        <f t="shared" si="126"/>
        <v>-59.785646222444377</v>
      </c>
      <c r="CS65" s="68">
        <f t="shared" si="127"/>
        <v>17.075588209049979</v>
      </c>
      <c r="CT65" s="68">
        <f t="shared" si="128"/>
        <v>-42.710058013394395</v>
      </c>
    </row>
    <row r="66" spans="1:98" x14ac:dyDescent="0.2">
      <c r="A66" t="str">
        <f t="shared" si="95"/>
        <v>72 Customer service occupations</v>
      </c>
      <c r="B66" s="17">
        <f t="shared" si="149"/>
        <v>0.37577693923454647</v>
      </c>
      <c r="C66" s="17">
        <f t="shared" si="149"/>
        <v>0.35418428104172278</v>
      </c>
      <c r="D66" s="17">
        <f t="shared" si="149"/>
        <v>0.38708542243513411</v>
      </c>
      <c r="E66" s="17">
        <f t="shared" si="149"/>
        <v>0.53690682481739971</v>
      </c>
      <c r="F66" s="17">
        <f t="shared" si="149"/>
        <v>0.62841202341996638</v>
      </c>
      <c r="H66" s="67">
        <f t="shared" si="129"/>
        <v>216.47916921011782</v>
      </c>
      <c r="I66" s="68">
        <f t="shared" si="130"/>
        <v>101.1144320513248</v>
      </c>
      <c r="J66" s="68">
        <f t="shared" si="131"/>
        <v>317.59360126144264</v>
      </c>
      <c r="L66" t="str">
        <f t="shared" si="132"/>
        <v>72 Customer service occupations</v>
      </c>
      <c r="M66" s="17">
        <f t="shared" si="150"/>
        <v>0.60439883377596793</v>
      </c>
      <c r="N66" s="17">
        <f t="shared" si="150"/>
        <v>0.58953810781351257</v>
      </c>
      <c r="O66" s="17">
        <f t="shared" si="150"/>
        <v>0.6187930418563361</v>
      </c>
      <c r="P66" s="17">
        <f t="shared" si="150"/>
        <v>0.82551714066207049</v>
      </c>
      <c r="Q66" s="17">
        <f t="shared" si="150"/>
        <v>0.94491361936632468</v>
      </c>
      <c r="S66" s="67">
        <f t="shared" si="98"/>
        <v>196.5943805735329</v>
      </c>
      <c r="T66" s="68">
        <f t="shared" si="99"/>
        <v>98.994100643106691</v>
      </c>
      <c r="U66" s="68">
        <f t="shared" si="100"/>
        <v>295.58848121663959</v>
      </c>
      <c r="W66" t="str">
        <f t="shared" si="133"/>
        <v>72 Customer service occupations</v>
      </c>
      <c r="X66" s="17">
        <f t="shared" si="151"/>
        <v>1.3081075178118176</v>
      </c>
      <c r="Y66" s="17">
        <f t="shared" si="151"/>
        <v>1.3434300376223722</v>
      </c>
      <c r="Z66" s="17">
        <f t="shared" si="151"/>
        <v>1.4539182569168025</v>
      </c>
      <c r="AA66" s="17">
        <f t="shared" si="151"/>
        <v>1.8927452722917408</v>
      </c>
      <c r="AB66" s="17">
        <f t="shared" si="151"/>
        <v>2.244372729433421</v>
      </c>
      <c r="AD66" s="67">
        <f t="shared" si="102"/>
        <v>97.339527581443846</v>
      </c>
      <c r="AE66" s="68">
        <f t="shared" si="103"/>
        <v>85.232158801527348</v>
      </c>
      <c r="AF66" s="68">
        <f t="shared" si="104"/>
        <v>182.57168638297119</v>
      </c>
      <c r="AH66" t="str">
        <f t="shared" si="134"/>
        <v>72 Customer service occupations</v>
      </c>
      <c r="AI66" s="17">
        <f t="shared" si="152"/>
        <v>1.2190284878760511</v>
      </c>
      <c r="AJ66" s="17">
        <f t="shared" si="152"/>
        <v>1.4402273770277321</v>
      </c>
      <c r="AK66" s="17">
        <f t="shared" si="152"/>
        <v>1.5626597142287864</v>
      </c>
      <c r="AL66" s="17">
        <f t="shared" si="152"/>
        <v>2.19662177092364</v>
      </c>
      <c r="AM66" s="17">
        <f t="shared" si="152"/>
        <v>2.5679727074819727</v>
      </c>
      <c r="AO66" s="67">
        <f t="shared" si="106"/>
        <v>92.029743366634023</v>
      </c>
      <c r="AP66" s="68">
        <f t="shared" si="107"/>
        <v>89.641697106912488</v>
      </c>
      <c r="AQ66" s="68">
        <f t="shared" si="108"/>
        <v>181.67144047354651</v>
      </c>
      <c r="AS66" t="str">
        <f t="shared" si="135"/>
        <v>72 Customer service occupations</v>
      </c>
      <c r="AT66" s="17">
        <f t="shared" si="153"/>
        <v>1.7309017490895702</v>
      </c>
      <c r="AU66" s="17">
        <f t="shared" si="153"/>
        <v>1.6970376536866654</v>
      </c>
      <c r="AV66" s="17">
        <f t="shared" si="153"/>
        <v>1.7550103927708074</v>
      </c>
      <c r="AW66" s="17">
        <f t="shared" si="153"/>
        <v>2.2260460223986511</v>
      </c>
      <c r="AX66" s="17">
        <f t="shared" si="153"/>
        <v>2.3175191696124924</v>
      </c>
      <c r="AZ66" s="67">
        <f t="shared" si="110"/>
        <v>65.659998283799155</v>
      </c>
      <c r="BA66" s="68">
        <f t="shared" si="111"/>
        <v>73.802446288347497</v>
      </c>
      <c r="BB66" s="68">
        <f t="shared" si="112"/>
        <v>139.46244457214664</v>
      </c>
      <c r="BD66" t="str">
        <f t="shared" si="136"/>
        <v>72 Customer service occupations</v>
      </c>
      <c r="BE66" s="17">
        <f t="shared" si="154"/>
        <v>1.7120236582140558</v>
      </c>
      <c r="BF66" s="17">
        <f t="shared" si="154"/>
        <v>1.7878282513334836</v>
      </c>
      <c r="BG66" s="17">
        <f t="shared" si="154"/>
        <v>1.9939342920939098</v>
      </c>
      <c r="BH66" s="17">
        <f t="shared" si="154"/>
        <v>2.4340380362519349</v>
      </c>
      <c r="BI66" s="17">
        <f t="shared" si="154"/>
        <v>2.7194963682514413</v>
      </c>
      <c r="BK66" s="67">
        <f t="shared" si="114"/>
        <v>47.576336113948003</v>
      </c>
      <c r="BL66" s="68">
        <f t="shared" si="115"/>
        <v>55.29366691404536</v>
      </c>
      <c r="BM66" s="68">
        <f t="shared" si="116"/>
        <v>102.87000302799336</v>
      </c>
      <c r="BO66" t="str">
        <f t="shared" si="137"/>
        <v>72 Customer service occupations</v>
      </c>
      <c r="BP66" s="17">
        <f t="shared" si="155"/>
        <v>1.840831760194882</v>
      </c>
      <c r="BQ66" s="17">
        <f t="shared" si="155"/>
        <v>2.1148560189893173</v>
      </c>
      <c r="BR66" s="17">
        <f t="shared" si="155"/>
        <v>2.1177011080388963</v>
      </c>
      <c r="BS66" s="17">
        <f t="shared" si="155"/>
        <v>2.7274926735065872</v>
      </c>
      <c r="BT66" s="17">
        <f t="shared" si="155"/>
        <v>3.0785353545064842</v>
      </c>
      <c r="BV66" s="67">
        <f t="shared" si="118"/>
        <v>5.91935897650173</v>
      </c>
      <c r="BW66" s="68">
        <f t="shared" si="119"/>
        <v>52.990702233181622</v>
      </c>
      <c r="BX66" s="68">
        <f t="shared" si="120"/>
        <v>58.910061209683349</v>
      </c>
      <c r="BZ66" t="str">
        <f t="shared" si="138"/>
        <v>72 Customer service occupations</v>
      </c>
      <c r="CA66" s="17">
        <f t="shared" si="156"/>
        <v>1.4293695129928325</v>
      </c>
      <c r="CB66" s="17">
        <f t="shared" si="156"/>
        <v>1.4419739452440559</v>
      </c>
      <c r="CC66" s="17">
        <f t="shared" si="156"/>
        <v>1.5897091553564964</v>
      </c>
      <c r="CD66" s="17">
        <f t="shared" si="156"/>
        <v>1.7943460087081451</v>
      </c>
      <c r="CE66" s="17">
        <f t="shared" si="156"/>
        <v>2.0480131164016235</v>
      </c>
      <c r="CG66" s="67">
        <f t="shared" si="122"/>
        <v>-15.626271442982182</v>
      </c>
      <c r="CH66" s="68">
        <f t="shared" si="123"/>
        <v>28.996950166312089</v>
      </c>
      <c r="CI66" s="68">
        <f t="shared" si="124"/>
        <v>13.37067872332991</v>
      </c>
      <c r="CK66" t="str">
        <f t="shared" si="139"/>
        <v>72 Customer service occupations</v>
      </c>
      <c r="CL66" s="17">
        <f t="shared" si="157"/>
        <v>1.2345978136096236</v>
      </c>
      <c r="CM66" s="17">
        <f t="shared" si="157"/>
        <v>1.5300133884919553</v>
      </c>
      <c r="CN66" s="17">
        <f t="shared" si="157"/>
        <v>1.5181068495527754</v>
      </c>
      <c r="CO66" s="17">
        <f t="shared" si="157"/>
        <v>2.8086097344924226</v>
      </c>
      <c r="CP66" s="17">
        <f t="shared" si="157"/>
        <v>4.0468281511835063</v>
      </c>
      <c r="CR66" s="67">
        <f t="shared" si="126"/>
        <v>50.159609317055441</v>
      </c>
      <c r="CS66" s="68">
        <f t="shared" si="127"/>
        <v>47.644659725000899</v>
      </c>
      <c r="CT66" s="68">
        <f t="shared" si="128"/>
        <v>97.804269042056333</v>
      </c>
    </row>
    <row r="67" spans="1:98" x14ac:dyDescent="0.2">
      <c r="A67" t="str">
        <f t="shared" si="95"/>
        <v>81 Process, plant and machine operatives</v>
      </c>
      <c r="B67" s="17">
        <f t="shared" si="149"/>
        <v>0.3206466255577321</v>
      </c>
      <c r="C67" s="17">
        <f t="shared" si="149"/>
        <v>0.33594460512916491</v>
      </c>
      <c r="D67" s="17">
        <f t="shared" si="149"/>
        <v>0.26079536502739908</v>
      </c>
      <c r="E67" s="17">
        <f t="shared" si="149"/>
        <v>0.38635125642983448</v>
      </c>
      <c r="F67" s="17">
        <f t="shared" si="149"/>
        <v>0.59959679649683295</v>
      </c>
      <c r="H67" s="67">
        <f t="shared" si="129"/>
        <v>348.19488453615583</v>
      </c>
      <c r="I67" s="68">
        <f t="shared" si="130"/>
        <v>136.09243879648744</v>
      </c>
      <c r="J67" s="68">
        <f t="shared" si="131"/>
        <v>484.28732333264327</v>
      </c>
      <c r="L67" t="str">
        <f t="shared" si="132"/>
        <v>81 Process, plant and machine operatives</v>
      </c>
      <c r="M67" s="17">
        <f t="shared" si="150"/>
        <v>0.37804478138612074</v>
      </c>
      <c r="N67" s="17">
        <f t="shared" si="150"/>
        <v>0.3528929081917192</v>
      </c>
      <c r="O67" s="17">
        <f t="shared" si="150"/>
        <v>0.29693240367157125</v>
      </c>
      <c r="P67" s="17">
        <f t="shared" si="150"/>
        <v>0.43558392092446124</v>
      </c>
      <c r="Q67" s="17">
        <f t="shared" si="150"/>
        <v>0.55340937975019822</v>
      </c>
      <c r="S67" s="67">
        <f t="shared" si="98"/>
        <v>261.99715145696189</v>
      </c>
      <c r="T67" s="68">
        <f t="shared" si="99"/>
        <v>109.06873221454741</v>
      </c>
      <c r="U67" s="68">
        <f t="shared" si="100"/>
        <v>371.06588367150931</v>
      </c>
      <c r="W67" t="str">
        <f t="shared" si="133"/>
        <v>81 Process, plant and machine operatives</v>
      </c>
      <c r="X67" s="17">
        <f t="shared" si="151"/>
        <v>0.55133518098374545</v>
      </c>
      <c r="Y67" s="17">
        <f t="shared" si="151"/>
        <v>0.48715699531611212</v>
      </c>
      <c r="Z67" s="17">
        <f t="shared" si="151"/>
        <v>0.42224441765702964</v>
      </c>
      <c r="AA67" s="17">
        <f t="shared" si="151"/>
        <v>0.65411560389211898</v>
      </c>
      <c r="AB67" s="17">
        <f t="shared" si="151"/>
        <v>0.97534453940930754</v>
      </c>
      <c r="AD67" s="67">
        <f t="shared" si="102"/>
        <v>195.29305394439328</v>
      </c>
      <c r="AE67" s="68">
        <f t="shared" si="103"/>
        <v>107.53591375109954</v>
      </c>
      <c r="AF67" s="68">
        <f t="shared" si="104"/>
        <v>302.82896769549285</v>
      </c>
      <c r="AH67" t="str">
        <f t="shared" si="134"/>
        <v>81 Process, plant and machine operatives</v>
      </c>
      <c r="AI67" s="17">
        <f t="shared" si="152"/>
        <v>0.71231478937611281</v>
      </c>
      <c r="AJ67" s="17">
        <f t="shared" si="152"/>
        <v>0.74689858377601648</v>
      </c>
      <c r="AK67" s="17">
        <f t="shared" si="152"/>
        <v>0.65128873458275804</v>
      </c>
      <c r="AL67" s="17">
        <f t="shared" si="152"/>
        <v>1.0666630373823183</v>
      </c>
      <c r="AM67" s="17">
        <f t="shared" si="152"/>
        <v>1.6410060503541732</v>
      </c>
      <c r="AO67" s="67">
        <f t="shared" si="106"/>
        <v>194.4280142878832</v>
      </c>
      <c r="AP67" s="68">
        <f t="shared" si="107"/>
        <v>99.391637202932756</v>
      </c>
      <c r="AQ67" s="68">
        <f t="shared" si="108"/>
        <v>293.81965149081594</v>
      </c>
      <c r="AS67" t="str">
        <f t="shared" si="135"/>
        <v>81 Process, plant and machine operatives</v>
      </c>
      <c r="AT67" s="17">
        <f t="shared" si="153"/>
        <v>1.8392708159094155</v>
      </c>
      <c r="AU67" s="17">
        <f t="shared" si="153"/>
        <v>1.6929575746170364</v>
      </c>
      <c r="AV67" s="17">
        <f t="shared" si="153"/>
        <v>1.4525324270061548</v>
      </c>
      <c r="AW67" s="17">
        <f t="shared" si="153"/>
        <v>2.0755251491123849</v>
      </c>
      <c r="AX67" s="17">
        <f t="shared" si="153"/>
        <v>2.5573200567032948</v>
      </c>
      <c r="AZ67" s="67">
        <f t="shared" si="110"/>
        <v>120.868233736832</v>
      </c>
      <c r="BA67" s="68">
        <f t="shared" si="111"/>
        <v>83.366390336929769</v>
      </c>
      <c r="BB67" s="68">
        <f t="shared" si="112"/>
        <v>204.23462407376175</v>
      </c>
      <c r="BD67" t="str">
        <f t="shared" si="136"/>
        <v>81 Process, plant and machine operatives</v>
      </c>
      <c r="BE67" s="17">
        <f t="shared" si="154"/>
        <v>3.0880840967228593</v>
      </c>
      <c r="BF67" s="17">
        <f t="shared" si="154"/>
        <v>2.882912166813441</v>
      </c>
      <c r="BG67" s="17">
        <f t="shared" si="154"/>
        <v>2.5861262800501819</v>
      </c>
      <c r="BH67" s="17">
        <f t="shared" si="154"/>
        <v>3.4064643036013877</v>
      </c>
      <c r="BI67" s="17">
        <f t="shared" si="154"/>
        <v>3.8958819225331531</v>
      </c>
      <c r="BK67" s="67">
        <f t="shared" si="114"/>
        <v>63.002828798322653</v>
      </c>
      <c r="BL67" s="68">
        <f t="shared" si="115"/>
        <v>49.893897315017846</v>
      </c>
      <c r="BM67" s="68">
        <f t="shared" si="116"/>
        <v>112.89672611334052</v>
      </c>
      <c r="BO67" t="str">
        <f t="shared" si="137"/>
        <v>81 Process, plant and machine operatives</v>
      </c>
      <c r="BP67" s="17">
        <f t="shared" si="155"/>
        <v>3.764200735738906</v>
      </c>
      <c r="BQ67" s="17">
        <f t="shared" si="155"/>
        <v>3.5005372271818351</v>
      </c>
      <c r="BR67" s="17">
        <f t="shared" si="155"/>
        <v>3.3713434071103014</v>
      </c>
      <c r="BS67" s="17">
        <f t="shared" si="155"/>
        <v>4.3926531819751045</v>
      </c>
      <c r="BT67" s="17">
        <f t="shared" si="155"/>
        <v>5.1619367081930969</v>
      </c>
      <c r="BV67" s="67">
        <f t="shared" si="118"/>
        <v>11.559239520387932</v>
      </c>
      <c r="BW67" s="68">
        <f t="shared" si="119"/>
        <v>46.791160019483762</v>
      </c>
      <c r="BX67" s="68">
        <f t="shared" si="120"/>
        <v>58.350399539871688</v>
      </c>
      <c r="BZ67" t="str">
        <f t="shared" si="138"/>
        <v>81 Process, plant and machine operatives</v>
      </c>
      <c r="CA67" s="17">
        <f t="shared" si="156"/>
        <v>4.9644867610105008</v>
      </c>
      <c r="CB67" s="17">
        <f t="shared" si="156"/>
        <v>4.6528729628886225</v>
      </c>
      <c r="CC67" s="17">
        <f t="shared" si="156"/>
        <v>4.0969442006039181</v>
      </c>
      <c r="CD67" s="17">
        <f t="shared" si="156"/>
        <v>4.8294191370231596</v>
      </c>
      <c r="CE67" s="17">
        <f t="shared" si="156"/>
        <v>2.6531805954920942</v>
      </c>
      <c r="CG67" s="67">
        <f t="shared" si="122"/>
        <v>-57.587004499230552</v>
      </c>
      <c r="CH67" s="68">
        <f t="shared" si="123"/>
        <v>26.994207115988793</v>
      </c>
      <c r="CI67" s="68">
        <f t="shared" si="124"/>
        <v>-30.592797383241759</v>
      </c>
      <c r="CK67" t="str">
        <f t="shared" si="139"/>
        <v>81 Process, plant and machine operatives</v>
      </c>
      <c r="CL67" s="17">
        <f t="shared" si="157"/>
        <v>6.1467833642949294</v>
      </c>
      <c r="CM67" s="17">
        <f t="shared" si="157"/>
        <v>5.54723299503019</v>
      </c>
      <c r="CN67" s="17">
        <f t="shared" si="157"/>
        <v>5.257409484948961</v>
      </c>
      <c r="CO67" s="17">
        <f t="shared" si="157"/>
        <v>3.8328290079618634</v>
      </c>
      <c r="CP67" s="17">
        <f t="shared" si="157"/>
        <v>3.0087095679543112</v>
      </c>
      <c r="CR67" s="67">
        <f t="shared" si="126"/>
        <v>-67.763404499961183</v>
      </c>
      <c r="CS67" s="68">
        <f t="shared" si="127"/>
        <v>14.04885198437136</v>
      </c>
      <c r="CT67" s="68">
        <f t="shared" si="128"/>
        <v>-53.71455251558983</v>
      </c>
    </row>
    <row r="68" spans="1:98" x14ac:dyDescent="0.2">
      <c r="A68" t="str">
        <f t="shared" si="95"/>
        <v>82 Transport and mobile machine drivers and operatives</v>
      </c>
      <c r="B68" s="17">
        <f t="shared" si="149"/>
        <v>0.46211779500908867</v>
      </c>
      <c r="C68" s="17">
        <f t="shared" si="149"/>
        <v>0.46413901106577332</v>
      </c>
      <c r="D68" s="17">
        <f t="shared" si="149"/>
        <v>0.39647549293276113</v>
      </c>
      <c r="E68" s="17">
        <f t="shared" si="149"/>
        <v>0.54385758596549583</v>
      </c>
      <c r="F68" s="17">
        <f t="shared" si="149"/>
        <v>0.60833670136008089</v>
      </c>
      <c r="H68" s="67">
        <f t="shared" si="129"/>
        <v>199.11289140947994</v>
      </c>
      <c r="I68" s="68">
        <f t="shared" si="130"/>
        <v>126.65436592626244</v>
      </c>
      <c r="J68" s="68">
        <f t="shared" si="131"/>
        <v>325.76725733574239</v>
      </c>
      <c r="L68" t="str">
        <f t="shared" si="132"/>
        <v>82 Transport and mobile machine drivers and operatives</v>
      </c>
      <c r="M68" s="17">
        <f t="shared" si="150"/>
        <v>0.52685975757524339</v>
      </c>
      <c r="N68" s="17">
        <f t="shared" si="150"/>
        <v>0.56848318507423168</v>
      </c>
      <c r="O68" s="17">
        <f t="shared" si="150"/>
        <v>0.4910939999132935</v>
      </c>
      <c r="P68" s="17">
        <f t="shared" si="150"/>
        <v>0.58886674791390148</v>
      </c>
      <c r="Q68" s="17">
        <f t="shared" si="150"/>
        <v>0.64706111324224191</v>
      </c>
      <c r="S68" s="67">
        <f t="shared" si="98"/>
        <v>155.91568461161461</v>
      </c>
      <c r="T68" s="68">
        <f t="shared" si="99"/>
        <v>110.59779592761944</v>
      </c>
      <c r="U68" s="68">
        <f t="shared" si="100"/>
        <v>266.51348053923402</v>
      </c>
      <c r="W68" t="str">
        <f t="shared" si="133"/>
        <v>82 Transport and mobile machine drivers and operatives</v>
      </c>
      <c r="X68" s="17">
        <f t="shared" si="151"/>
        <v>0.74435888989488397</v>
      </c>
      <c r="Y68" s="17">
        <f t="shared" si="151"/>
        <v>0.81394442829004077</v>
      </c>
      <c r="Z68" s="17">
        <f t="shared" si="151"/>
        <v>0.73062932056110697</v>
      </c>
      <c r="AA68" s="17">
        <f t="shared" si="151"/>
        <v>0.85334852872053324</v>
      </c>
      <c r="AB68" s="17">
        <f t="shared" si="151"/>
        <v>1.0317625901961769</v>
      </c>
      <c r="AD68" s="67">
        <f t="shared" si="102"/>
        <v>80.526836400270312</v>
      </c>
      <c r="AE68" s="68">
        <f t="shared" si="103"/>
        <v>97.476918559264433</v>
      </c>
      <c r="AF68" s="68">
        <f t="shared" si="104"/>
        <v>178.00375495953475</v>
      </c>
      <c r="AH68" t="str">
        <f t="shared" si="134"/>
        <v>82 Transport and mobile machine drivers and operatives</v>
      </c>
      <c r="AI68" s="17">
        <f t="shared" si="152"/>
        <v>1.0175178680870183</v>
      </c>
      <c r="AJ68" s="17">
        <f t="shared" si="152"/>
        <v>1.3398113990345657</v>
      </c>
      <c r="AK68" s="17">
        <f t="shared" si="152"/>
        <v>1.2256655235592762</v>
      </c>
      <c r="AL68" s="17">
        <f t="shared" si="152"/>
        <v>1.5858481928543615</v>
      </c>
      <c r="AM68" s="17">
        <f t="shared" si="152"/>
        <v>1.8829387702048628</v>
      </c>
      <c r="AO68" s="67">
        <f t="shared" si="106"/>
        <v>79.51747932657932</v>
      </c>
      <c r="AP68" s="68">
        <f t="shared" si="107"/>
        <v>100.02190245991596</v>
      </c>
      <c r="AQ68" s="68">
        <f t="shared" si="108"/>
        <v>179.53938178649526</v>
      </c>
      <c r="AS68" t="str">
        <f t="shared" si="135"/>
        <v>82 Transport and mobile machine drivers and operatives</v>
      </c>
      <c r="AT68" s="17">
        <f t="shared" si="153"/>
        <v>1.9726050754477154</v>
      </c>
      <c r="AU68" s="17">
        <f t="shared" si="153"/>
        <v>2.0698595840078338</v>
      </c>
      <c r="AV68" s="17">
        <f t="shared" si="153"/>
        <v>1.7549208650046149</v>
      </c>
      <c r="AW68" s="17">
        <f t="shared" si="153"/>
        <v>2.1716731011885191</v>
      </c>
      <c r="AX68" s="17">
        <f t="shared" si="153"/>
        <v>2.34286510947411</v>
      </c>
      <c r="AZ68" s="67">
        <f t="shared" si="110"/>
        <v>67.480310455271507</v>
      </c>
      <c r="BA68" s="68">
        <f t="shared" si="111"/>
        <v>97.618685273723571</v>
      </c>
      <c r="BB68" s="68">
        <f t="shared" si="112"/>
        <v>165.09899572899508</v>
      </c>
      <c r="BD68" t="str">
        <f t="shared" si="136"/>
        <v>82 Transport and mobile machine drivers and operatives</v>
      </c>
      <c r="BE68" s="17">
        <f t="shared" si="154"/>
        <v>3.1781060057819497</v>
      </c>
      <c r="BF68" s="17">
        <f t="shared" si="154"/>
        <v>3.0812723562016999</v>
      </c>
      <c r="BG68" s="17">
        <f t="shared" si="154"/>
        <v>2.7838638830039431</v>
      </c>
      <c r="BH68" s="17">
        <f t="shared" si="154"/>
        <v>3.1903037594540598</v>
      </c>
      <c r="BI68" s="17">
        <f t="shared" si="154"/>
        <v>3.5239982820453211</v>
      </c>
      <c r="BK68" s="67">
        <f t="shared" si="114"/>
        <v>36.970415948689656</v>
      </c>
      <c r="BL68" s="68">
        <f t="shared" si="115"/>
        <v>61.135061592161691</v>
      </c>
      <c r="BM68" s="68">
        <f t="shared" si="116"/>
        <v>98.105477540851339</v>
      </c>
      <c r="BO68" t="str">
        <f t="shared" si="137"/>
        <v>82 Transport and mobile machine drivers and operatives</v>
      </c>
      <c r="BP68" s="17">
        <f t="shared" si="155"/>
        <v>4.4039175473658156</v>
      </c>
      <c r="BQ68" s="17">
        <f t="shared" si="155"/>
        <v>4.4800784655793233</v>
      </c>
      <c r="BR68" s="17">
        <f t="shared" si="155"/>
        <v>4.451001833233831</v>
      </c>
      <c r="BS68" s="17">
        <f t="shared" si="155"/>
        <v>5.0625646112031824</v>
      </c>
      <c r="BT68" s="17">
        <f t="shared" si="155"/>
        <v>6.1680909780875632</v>
      </c>
      <c r="BV68" s="67">
        <f t="shared" si="118"/>
        <v>0.96918710799393326</v>
      </c>
      <c r="BW68" s="68">
        <f t="shared" si="119"/>
        <v>59.462207226906941</v>
      </c>
      <c r="BX68" s="68">
        <f t="shared" si="120"/>
        <v>60.43139433490088</v>
      </c>
      <c r="BZ68" t="str">
        <f t="shared" si="138"/>
        <v>82 Transport and mobile machine drivers and operatives</v>
      </c>
      <c r="CA68" s="17">
        <f t="shared" si="156"/>
        <v>6.3688822669113927</v>
      </c>
      <c r="CB68" s="17">
        <f t="shared" si="156"/>
        <v>6.4259826563736064</v>
      </c>
      <c r="CC68" s="17">
        <f t="shared" si="156"/>
        <v>5.3867925507988756</v>
      </c>
      <c r="CD68" s="17">
        <f t="shared" si="156"/>
        <v>5.7285733653735189</v>
      </c>
      <c r="CE68" s="17">
        <f t="shared" si="156"/>
        <v>6.6336144485856892</v>
      </c>
      <c r="CG68" s="67">
        <f t="shared" si="122"/>
        <v>-19.348553943642283</v>
      </c>
      <c r="CH68" s="68">
        <f t="shared" si="123"/>
        <v>38.837478545189292</v>
      </c>
      <c r="CI68" s="68">
        <f t="shared" si="124"/>
        <v>19.488924601547009</v>
      </c>
      <c r="CK68" t="str">
        <f t="shared" si="139"/>
        <v>82 Transport and mobile machine drivers and operatives</v>
      </c>
      <c r="CL68" s="17">
        <f t="shared" si="157"/>
        <v>6.3202194501305193</v>
      </c>
      <c r="CM68" s="17">
        <f t="shared" si="157"/>
        <v>7.9973101449539952</v>
      </c>
      <c r="CN68" s="17">
        <f t="shared" si="157"/>
        <v>8.877797723060656</v>
      </c>
      <c r="CO68" s="17">
        <f t="shared" si="157"/>
        <v>9.0732397720708917</v>
      </c>
      <c r="CP68" s="17">
        <f t="shared" si="157"/>
        <v>7.6434733939915382</v>
      </c>
      <c r="CR68" s="67">
        <f t="shared" si="126"/>
        <v>-51.501733058679136</v>
      </c>
      <c r="CS68" s="68">
        <f t="shared" si="127"/>
        <v>29.499579406925779</v>
      </c>
      <c r="CT68" s="68">
        <f t="shared" si="128"/>
        <v>-22.002153651753357</v>
      </c>
    </row>
    <row r="69" spans="1:98" x14ac:dyDescent="0.2">
      <c r="A69" t="str">
        <f t="shared" si="95"/>
        <v>91 Elementary trades and related occupations</v>
      </c>
      <c r="B69" s="17">
        <f t="shared" si="149"/>
        <v>6.2253656828883371E-3</v>
      </c>
      <c r="C69" s="17">
        <f t="shared" si="149"/>
        <v>4.564779676491138E-3</v>
      </c>
      <c r="D69" s="17">
        <f t="shared" si="149"/>
        <v>3.6502686692770452E-3</v>
      </c>
      <c r="E69" s="17">
        <f t="shared" si="149"/>
        <v>3.5364576946611791E-3</v>
      </c>
      <c r="F69" s="17">
        <f t="shared" si="149"/>
        <v>3.6391389034995942E-3</v>
      </c>
      <c r="H69" s="67">
        <f t="shared" si="129"/>
        <v>94.348530858731181</v>
      </c>
      <c r="I69" s="68">
        <f t="shared" si="130"/>
        <v>78.323861696567747</v>
      </c>
      <c r="J69" s="68">
        <f t="shared" si="131"/>
        <v>172.67239255529893</v>
      </c>
      <c r="L69" t="str">
        <f t="shared" si="132"/>
        <v>91 Elementary trades and related occupations</v>
      </c>
      <c r="M69" s="17">
        <f t="shared" si="150"/>
        <v>0.30747985191409355</v>
      </c>
      <c r="N69" s="17">
        <f t="shared" si="150"/>
        <v>0.28891481179440393</v>
      </c>
      <c r="O69" s="17">
        <f t="shared" si="150"/>
        <v>0.21972767640558899</v>
      </c>
      <c r="P69" s="17">
        <f t="shared" si="150"/>
        <v>0.25115137910738566</v>
      </c>
      <c r="Q69" s="17">
        <f t="shared" si="150"/>
        <v>0.26901786887138984</v>
      </c>
      <c r="S69" s="67">
        <f t="shared" si="98"/>
        <v>137.80040837178473</v>
      </c>
      <c r="T69" s="68">
        <f t="shared" si="99"/>
        <v>74.283831729452771</v>
      </c>
      <c r="U69" s="68">
        <f t="shared" si="100"/>
        <v>212.0842401012375</v>
      </c>
      <c r="W69" t="str">
        <f t="shared" si="133"/>
        <v>91 Elementary trades and related occupations</v>
      </c>
      <c r="X69" s="17">
        <f t="shared" si="151"/>
        <v>0.48030722252560387</v>
      </c>
      <c r="Y69" s="17">
        <f t="shared" si="151"/>
        <v>0.40838785729412996</v>
      </c>
      <c r="Z69" s="17">
        <f t="shared" si="151"/>
        <v>0.36781532822621171</v>
      </c>
      <c r="AA69" s="17">
        <f t="shared" si="151"/>
        <v>0.36546857766516705</v>
      </c>
      <c r="AB69" s="17">
        <f t="shared" si="151"/>
        <v>0.35873812636190966</v>
      </c>
      <c r="AD69" s="67">
        <f t="shared" si="102"/>
        <v>24.682873518487234</v>
      </c>
      <c r="AE69" s="68">
        <f t="shared" si="103"/>
        <v>64.828199412416524</v>
      </c>
      <c r="AF69" s="68">
        <f t="shared" si="104"/>
        <v>89.511072930903751</v>
      </c>
      <c r="AH69" t="str">
        <f t="shared" si="134"/>
        <v>91 Elementary trades and related occupations</v>
      </c>
      <c r="AI69" s="17">
        <f t="shared" si="152"/>
        <v>0.98113323625507987</v>
      </c>
      <c r="AJ69" s="17">
        <f t="shared" si="152"/>
        <v>0.99545637112838459</v>
      </c>
      <c r="AK69" s="17">
        <f t="shared" si="152"/>
        <v>0.84083919567887555</v>
      </c>
      <c r="AL69" s="17">
        <f t="shared" si="152"/>
        <v>0.884308207037658</v>
      </c>
      <c r="AM69" s="17">
        <f t="shared" si="152"/>
        <v>0.97101686675185017</v>
      </c>
      <c r="AO69" s="67">
        <f t="shared" si="106"/>
        <v>34.944857644222523</v>
      </c>
      <c r="AP69" s="68">
        <f t="shared" si="107"/>
        <v>64.788063715164284</v>
      </c>
      <c r="AQ69" s="68">
        <f t="shared" si="108"/>
        <v>99.732921359386808</v>
      </c>
      <c r="AS69" t="str">
        <f t="shared" si="135"/>
        <v>91 Elementary trades and related occupations</v>
      </c>
      <c r="AT69" s="17">
        <f t="shared" si="153"/>
        <v>1.2169460993335448</v>
      </c>
      <c r="AU69" s="17">
        <f t="shared" si="153"/>
        <v>1.070832491341791</v>
      </c>
      <c r="AV69" s="17">
        <f t="shared" si="153"/>
        <v>0.99965305684625561</v>
      </c>
      <c r="AW69" s="17">
        <f t="shared" si="153"/>
        <v>0.99531374593422106</v>
      </c>
      <c r="AX69" s="17">
        <f t="shared" si="153"/>
        <v>0.9824963410886085</v>
      </c>
      <c r="AZ69" s="67">
        <f t="shared" si="110"/>
        <v>23.297892484390129</v>
      </c>
      <c r="BA69" s="68">
        <f t="shared" si="111"/>
        <v>54.106246407903448</v>
      </c>
      <c r="BB69" s="68">
        <f t="shared" si="112"/>
        <v>77.404138892293574</v>
      </c>
      <c r="BD69" t="str">
        <f t="shared" si="136"/>
        <v>91 Elementary trades and related occupations</v>
      </c>
      <c r="BE69" s="17">
        <f t="shared" si="154"/>
        <v>1.5419189649718197</v>
      </c>
      <c r="BF69" s="17">
        <f t="shared" si="154"/>
        <v>1.2827650956091481</v>
      </c>
      <c r="BG69" s="17">
        <f t="shared" si="154"/>
        <v>1.2019450711114865</v>
      </c>
      <c r="BH69" s="17">
        <f t="shared" si="154"/>
        <v>1.1736879907662976</v>
      </c>
      <c r="BI69" s="17">
        <f t="shared" si="154"/>
        <v>1.306622076493114</v>
      </c>
      <c r="BK69" s="67">
        <f t="shared" si="114"/>
        <v>17.626304820131942</v>
      </c>
      <c r="BL69" s="68">
        <f t="shared" si="115"/>
        <v>38.387950368351333</v>
      </c>
      <c r="BM69" s="68">
        <f t="shared" si="116"/>
        <v>56.01425518848329</v>
      </c>
      <c r="BO69" t="str">
        <f t="shared" si="137"/>
        <v>91 Elementary trades and related occupations</v>
      </c>
      <c r="BP69" s="17">
        <f t="shared" si="155"/>
        <v>2.3494218293006566</v>
      </c>
      <c r="BQ69" s="17">
        <f t="shared" si="155"/>
        <v>1.8433758379249952</v>
      </c>
      <c r="BR69" s="17">
        <f t="shared" si="155"/>
        <v>1.800976362348969</v>
      </c>
      <c r="BS69" s="17">
        <f t="shared" si="155"/>
        <v>1.5941433772710394</v>
      </c>
      <c r="BT69" s="17">
        <f t="shared" si="155"/>
        <v>1.7354138074842314</v>
      </c>
      <c r="BV69" s="67">
        <f t="shared" si="118"/>
        <v>-29.79130545789387</v>
      </c>
      <c r="BW69" s="68">
        <f t="shared" si="119"/>
        <v>32.595011359371505</v>
      </c>
      <c r="BX69" s="68">
        <f t="shared" si="120"/>
        <v>2.8037059014776382</v>
      </c>
      <c r="BZ69" t="str">
        <f t="shared" si="138"/>
        <v>91 Elementary trades and related occupations</v>
      </c>
      <c r="CA69" s="17">
        <f t="shared" si="156"/>
        <v>4.2771560607724055</v>
      </c>
      <c r="CB69" s="17">
        <f t="shared" si="156"/>
        <v>3.7271538942633997</v>
      </c>
      <c r="CC69" s="17">
        <f t="shared" si="156"/>
        <v>3.2365741875958558</v>
      </c>
      <c r="CD69" s="17">
        <f t="shared" si="156"/>
        <v>2.7905643376129143</v>
      </c>
      <c r="CE69" s="17">
        <f t="shared" si="156"/>
        <v>3.0963328416162268</v>
      </c>
      <c r="CG69" s="67">
        <f t="shared" si="122"/>
        <v>-37.34521326338168</v>
      </c>
      <c r="CH69" s="68">
        <f t="shared" si="123"/>
        <v>25.827720875908771</v>
      </c>
      <c r="CI69" s="68">
        <f t="shared" si="124"/>
        <v>-11.517492387472908</v>
      </c>
      <c r="CK69" t="str">
        <f t="shared" si="139"/>
        <v>91 Elementary trades and related occupations</v>
      </c>
      <c r="CL69" s="17">
        <f t="shared" si="157"/>
        <v>6.0001232098043644</v>
      </c>
      <c r="CM69" s="17">
        <f t="shared" si="157"/>
        <v>5.9221546356622534</v>
      </c>
      <c r="CN69" s="17">
        <f t="shared" si="157"/>
        <v>5.6755256419190419</v>
      </c>
      <c r="CO69" s="17">
        <f t="shared" si="157"/>
        <v>5.9968394492772426</v>
      </c>
      <c r="CP69" s="17">
        <f t="shared" si="157"/>
        <v>7.9909115971989282</v>
      </c>
      <c r="CR69" s="67">
        <f t="shared" si="126"/>
        <v>-20.68945340374103</v>
      </c>
      <c r="CS69" s="68">
        <f t="shared" si="127"/>
        <v>25.342528357331535</v>
      </c>
      <c r="CT69" s="68">
        <f t="shared" si="128"/>
        <v>4.6530749535905063</v>
      </c>
    </row>
    <row r="70" spans="1:98" x14ac:dyDescent="0.2">
      <c r="A70" t="str">
        <f t="shared" si="95"/>
        <v>92 Elementary administration and service occupations</v>
      </c>
      <c r="B70" s="17">
        <f t="shared" si="149"/>
        <v>0.47144539595498325</v>
      </c>
      <c r="C70" s="17">
        <f t="shared" si="149"/>
        <v>0.41645343281094094</v>
      </c>
      <c r="D70" s="17">
        <f t="shared" si="149"/>
        <v>0.37331202822755682</v>
      </c>
      <c r="E70" s="17">
        <f t="shared" si="149"/>
        <v>0.46545263778694451</v>
      </c>
      <c r="F70" s="17">
        <f t="shared" si="149"/>
        <v>0.46616494240116629</v>
      </c>
      <c r="H70" s="67">
        <f t="shared" si="129"/>
        <v>143.43055350540416</v>
      </c>
      <c r="I70" s="68">
        <f t="shared" si="130"/>
        <v>97.768294311286112</v>
      </c>
      <c r="J70" s="68">
        <f t="shared" si="131"/>
        <v>241.19884781669029</v>
      </c>
      <c r="L70" t="str">
        <f t="shared" ref="L70" si="158">A70</f>
        <v>92 Elementary administration and service occupations</v>
      </c>
      <c r="M70" s="17">
        <f t="shared" si="150"/>
        <v>1.9984645229277349</v>
      </c>
      <c r="N70" s="17">
        <f t="shared" si="150"/>
        <v>1.9838791013702968</v>
      </c>
      <c r="O70" s="17">
        <f t="shared" si="150"/>
        <v>1.936230730218776</v>
      </c>
      <c r="P70" s="17">
        <f t="shared" si="150"/>
        <v>2.4600496047052265</v>
      </c>
      <c r="Q70" s="17">
        <f t="shared" si="150"/>
        <v>2.978520466851255</v>
      </c>
      <c r="S70" s="67">
        <f t="shared" si="98"/>
        <v>198.78563342900935</v>
      </c>
      <c r="T70" s="68">
        <f t="shared" si="99"/>
        <v>111.4730550029207</v>
      </c>
      <c r="U70" s="68">
        <f t="shared" si="100"/>
        <v>310.25868843193007</v>
      </c>
      <c r="W70" t="str">
        <f t="shared" ref="W70" si="159">A70</f>
        <v>92 Elementary administration and service occupations</v>
      </c>
      <c r="X70" s="17">
        <f t="shared" si="151"/>
        <v>3.4570932717117477</v>
      </c>
      <c r="Y70" s="17">
        <f t="shared" si="151"/>
        <v>3.5778771021203117</v>
      </c>
      <c r="Z70" s="17">
        <f t="shared" si="151"/>
        <v>3.6245289004599099</v>
      </c>
      <c r="AA70" s="17">
        <f t="shared" si="151"/>
        <v>4.2840620734774255</v>
      </c>
      <c r="AB70" s="17">
        <f t="shared" si="151"/>
        <v>4.930555455818161</v>
      </c>
      <c r="AD70" s="67">
        <f t="shared" si="102"/>
        <v>73.90151758817349</v>
      </c>
      <c r="AE70" s="68">
        <f t="shared" si="103"/>
        <v>94.140947795051616</v>
      </c>
      <c r="AF70" s="68">
        <f t="shared" si="104"/>
        <v>168.04246538322511</v>
      </c>
      <c r="AH70" t="str">
        <f t="shared" ref="AH70" si="160">L70</f>
        <v>92 Elementary administration and service occupations</v>
      </c>
      <c r="AI70" s="17">
        <f t="shared" si="152"/>
        <v>5.2666427155534707</v>
      </c>
      <c r="AJ70" s="17">
        <f t="shared" si="152"/>
        <v>6.0477863643721133</v>
      </c>
      <c r="AK70" s="17">
        <f t="shared" si="152"/>
        <v>6.1216749841977443</v>
      </c>
      <c r="AL70" s="17">
        <f t="shared" si="152"/>
        <v>7.6357781598510615</v>
      </c>
      <c r="AM70" s="17">
        <f t="shared" si="152"/>
        <v>9.131415768952504</v>
      </c>
      <c r="AO70" s="67">
        <f t="shared" si="106"/>
        <v>74.30520791975475</v>
      </c>
      <c r="AP70" s="68">
        <f t="shared" si="107"/>
        <v>88.113994162052549</v>
      </c>
      <c r="AQ70" s="68">
        <f t="shared" si="108"/>
        <v>162.4192020818073</v>
      </c>
      <c r="AS70" t="str">
        <f t="shared" ref="AS70" si="161">W70</f>
        <v>92 Elementary administration and service occupations</v>
      </c>
      <c r="AT70" s="17">
        <f t="shared" si="153"/>
        <v>5.1215892128344116</v>
      </c>
      <c r="AU70" s="17">
        <f t="shared" si="153"/>
        <v>5.2332287954987313</v>
      </c>
      <c r="AV70" s="17">
        <f t="shared" si="153"/>
        <v>5.5971313424194209</v>
      </c>
      <c r="AW70" s="17">
        <f t="shared" si="153"/>
        <v>6.4527239994358752</v>
      </c>
      <c r="AX70" s="17">
        <f t="shared" si="153"/>
        <v>7.4944542303783281</v>
      </c>
      <c r="AZ70" s="67">
        <f t="shared" si="110"/>
        <v>67.976498255731315</v>
      </c>
      <c r="BA70" s="68">
        <f t="shared" si="111"/>
        <v>83.822610099357036</v>
      </c>
      <c r="BB70" s="68">
        <f t="shared" si="112"/>
        <v>151.79910835508835</v>
      </c>
      <c r="BD70" t="str">
        <f t="shared" ref="BD70" si="162">AH70</f>
        <v>92 Elementary administration and service occupations</v>
      </c>
      <c r="BE70" s="17">
        <f t="shared" si="154"/>
        <v>8.6433313839384969</v>
      </c>
      <c r="BF70" s="17">
        <f t="shared" si="154"/>
        <v>8.169205049736469</v>
      </c>
      <c r="BG70" s="17">
        <f t="shared" si="154"/>
        <v>7.8155948870868395</v>
      </c>
      <c r="BH70" s="17">
        <f t="shared" si="154"/>
        <v>7.9205065748514674</v>
      </c>
      <c r="BI70" s="17">
        <f t="shared" si="154"/>
        <v>7.5019732216597372</v>
      </c>
      <c r="BK70" s="67">
        <f t="shared" si="114"/>
        <v>3.8610126620716159</v>
      </c>
      <c r="BL70" s="68">
        <f t="shared" si="115"/>
        <v>48.301071603861153</v>
      </c>
      <c r="BM70" s="68">
        <f t="shared" si="116"/>
        <v>52.162084265932776</v>
      </c>
      <c r="BO70" t="str">
        <f t="shared" ref="BO70" si="163">AS70</f>
        <v>92 Elementary administration and service occupations</v>
      </c>
      <c r="BP70" s="17">
        <f t="shared" si="155"/>
        <v>13.76958060518275</v>
      </c>
      <c r="BQ70" s="17">
        <f t="shared" si="155"/>
        <v>13.993172154853237</v>
      </c>
      <c r="BR70" s="17">
        <f t="shared" si="155"/>
        <v>13.34639835747851</v>
      </c>
      <c r="BS70" s="17">
        <f t="shared" si="155"/>
        <v>14.647902754983694</v>
      </c>
      <c r="BT70" s="17">
        <f t="shared" si="155"/>
        <v>15.352695238795331</v>
      </c>
      <c r="BV70" s="67">
        <f t="shared" si="118"/>
        <v>-16.186030873809489</v>
      </c>
      <c r="BW70" s="68">
        <f t="shared" si="119"/>
        <v>47.251829532772987</v>
      </c>
      <c r="BX70" s="68">
        <f t="shared" si="120"/>
        <v>31.065798658963502</v>
      </c>
      <c r="BZ70" t="str">
        <f t="shared" ref="BZ70" si="164">BD70</f>
        <v>92 Elementary administration and service occupations</v>
      </c>
      <c r="CA70" s="17">
        <f t="shared" si="156"/>
        <v>18.650410128664916</v>
      </c>
      <c r="CB70" s="17">
        <f t="shared" si="156"/>
        <v>18.564166543881122</v>
      </c>
      <c r="CC70" s="17">
        <f t="shared" si="156"/>
        <v>18.131587886013641</v>
      </c>
      <c r="CD70" s="17">
        <f t="shared" si="156"/>
        <v>20.240314469365284</v>
      </c>
      <c r="CE70" s="17">
        <f t="shared" si="156"/>
        <v>20.590932310717562</v>
      </c>
      <c r="CG70" s="67">
        <f t="shared" si="122"/>
        <v>-25.624079345416096</v>
      </c>
      <c r="CH70" s="68">
        <f t="shared" si="123"/>
        <v>33.06434860974224</v>
      </c>
      <c r="CI70" s="68">
        <f t="shared" si="124"/>
        <v>7.4402692643261421</v>
      </c>
      <c r="CK70" t="str">
        <f t="shared" ref="CK70" si="165">BO70</f>
        <v>92 Elementary administration and service occupations</v>
      </c>
      <c r="CL70" s="17">
        <f t="shared" si="157"/>
        <v>24.674058737583049</v>
      </c>
      <c r="CM70" s="17">
        <f t="shared" si="157"/>
        <v>20.166355785711591</v>
      </c>
      <c r="CN70" s="17">
        <f t="shared" si="157"/>
        <v>18.07194818443822</v>
      </c>
      <c r="CO70" s="17">
        <f t="shared" si="157"/>
        <v>17.286448895876887</v>
      </c>
      <c r="CP70" s="17">
        <f t="shared" si="157"/>
        <v>21.887203677829568</v>
      </c>
      <c r="CR70" s="67">
        <f t="shared" si="126"/>
        <v>-31.77775390421883</v>
      </c>
      <c r="CS70" s="68">
        <f t="shared" si="127"/>
        <v>22.057704437798581</v>
      </c>
      <c r="CT70" s="68">
        <f t="shared" si="128"/>
        <v>-9.7200494664202477</v>
      </c>
    </row>
    <row r="71" spans="1:98" x14ac:dyDescent="0.2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94.942916971767247</v>
      </c>
      <c r="I72" s="66">
        <f>IF(D35&gt;0,I35/D35*100,0)</f>
        <v>70.735750991163371</v>
      </c>
      <c r="J72" s="66">
        <f>IF(D35&gt;0,(J35/D35)*100,0)</f>
        <v>165.67866796293063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94.229964719601512</v>
      </c>
      <c r="T72" s="66">
        <f t="shared" ref="T72" si="167">IF(O35&gt;0,T35/O35*100,0)</f>
        <v>74.711810067713344</v>
      </c>
      <c r="U72" s="66">
        <f t="shared" ref="U72" si="168">IF(O35&gt;0,(U35/O35)*100,0)</f>
        <v>168.94177478731487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27.837742011073313</v>
      </c>
      <c r="AE72" s="66">
        <f t="shared" ref="AE72" si="170">IF(Z35&gt;0,AE35/Z35*100,0)</f>
        <v>65.776416106850775</v>
      </c>
      <c r="AF72" s="66">
        <f t="shared" ref="AF72" si="171">IF(Z35&gt;0,(AF35/Z35)*100,0)</f>
        <v>93.614158117924092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16.853712276004824</v>
      </c>
      <c r="AP72" s="66">
        <f t="shared" ref="AP72" si="173">IF(AK35&gt;0,AP35/AK35*100,0)</f>
        <v>60.454316571148027</v>
      </c>
      <c r="AQ72" s="66">
        <f t="shared" ref="AQ72" si="174">IF(AK35&gt;0,(AQ35/AK35)*100,0)</f>
        <v>77.308028847152841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25.450966044468505</v>
      </c>
      <c r="BA72" s="66">
        <f t="shared" ref="BA72" si="176">IF(AV35&gt;0,BA35/AV35*100,0)</f>
        <v>62.09391516033623</v>
      </c>
      <c r="BB72" s="66">
        <f t="shared" ref="BB72" si="177">IF(AV35&gt;0,(BB35/AV35)*100,0)</f>
        <v>87.544881204804753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8.2029454844894865</v>
      </c>
      <c r="BL72" s="66">
        <f t="shared" ref="BL72" si="179">IF(BG35&gt;0,BL35/BG35*100,0)</f>
        <v>45.228444744079539</v>
      </c>
      <c r="BM72" s="66">
        <f t="shared" ref="BM72" si="180">IF(BG35&gt;0,(BM35/BG35)*100,0)</f>
        <v>53.431390228569022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-27.138876758728841</v>
      </c>
      <c r="BW72" s="66">
        <f t="shared" ref="BW72" si="182">IF(BR35&gt;0,BW35/BR35*100,0)</f>
        <v>40.708360470665653</v>
      </c>
      <c r="BX72" s="66">
        <f t="shared" ref="BX72" si="183">IF(BR35&gt;0,(BX35/BR35)*100,0)</f>
        <v>13.569483711936813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-34.507407357662771</v>
      </c>
      <c r="CH72" s="66">
        <f t="shared" ref="CH72" si="185">IF(CC35&gt;0,CH35/CC35*100,0)</f>
        <v>29.883408582710665</v>
      </c>
      <c r="CI72" s="66">
        <f t="shared" ref="CI72" si="186">IF(CC35&gt;0,(CI35/CC35)*100,0)</f>
        <v>-4.6239987749521045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-43.669876032733548</v>
      </c>
      <c r="CS72" s="66">
        <f t="shared" ref="CS72" si="188">IF(CN35&gt;0,CS35/CN35*100,0)</f>
        <v>23.941141997554379</v>
      </c>
      <c r="CT72" s="66">
        <f t="shared" ref="CT72" si="189">IF(CN35&gt;0,(CT35/CN35)*100,0)</f>
        <v>-19.728734035179166</v>
      </c>
    </row>
    <row r="75" spans="1:98" ht="51" customHeight="1" x14ac:dyDescent="0.2">
      <c r="A75" s="378" t="str">
        <f>CONCATENATE(A$1," (Continued)")</f>
        <v>Basic Table 2  Employment Change by Occupation and Replacement Demand, RQF8 Doctorate, 2015-2035, South West (Continued)</v>
      </c>
      <c r="B75" s="378"/>
      <c r="C75" s="378"/>
      <c r="D75" s="378"/>
      <c r="E75" s="378"/>
      <c r="F75" s="378"/>
      <c r="G75" s="378"/>
      <c r="H75" s="378"/>
      <c r="I75" s="378"/>
      <c r="J75" s="378"/>
      <c r="L75" s="378" t="str">
        <f>CONCATENATE(L$1," (Continued)")</f>
        <v>Basic Table 2.1  Employment Change by Occupation and Replacement Demand, RQF7 Other higher degree, 2015-2035, South West (Continued)</v>
      </c>
      <c r="M75" s="378"/>
      <c r="N75" s="378"/>
      <c r="O75" s="378"/>
      <c r="P75" s="378"/>
      <c r="Q75" s="378"/>
      <c r="R75" s="378"/>
      <c r="S75" s="378"/>
      <c r="T75" s="378"/>
      <c r="U75" s="378"/>
      <c r="W75" s="378" t="str">
        <f>CONCATENATE(W$1," (Continued)")</f>
        <v>Basic Table 2.2  Employment Change by Occupation and Replacement Demand, RQF6 First degree, 2015-2035, South West (Continued)</v>
      </c>
      <c r="X75" s="378"/>
      <c r="Y75" s="378"/>
      <c r="Z75" s="378"/>
      <c r="AA75" s="378"/>
      <c r="AB75" s="378"/>
      <c r="AC75" s="378"/>
      <c r="AD75" s="378"/>
      <c r="AE75" s="378"/>
      <c r="AF75" s="378"/>
      <c r="AH75" s="378" t="str">
        <f>CONCATENATE(AH$1," (Continued)")</f>
        <v>Basic Table 2.3  Employment Change by Occupation and Replacement Demand, RQF5 Foundation degree;Nursing;Teaching, 2015-2035, South West (Continued)</v>
      </c>
      <c r="AI75" s="378"/>
      <c r="AJ75" s="378"/>
      <c r="AK75" s="378"/>
      <c r="AL75" s="378"/>
      <c r="AM75" s="378"/>
      <c r="AN75" s="378"/>
      <c r="AO75" s="378"/>
      <c r="AP75" s="378"/>
      <c r="AQ75" s="378"/>
      <c r="AS75" s="378" t="str">
        <f>CONCATENATE(AS$1," (Continued)")</f>
        <v>Basic Table 2.4  Employment Change by Occupation and Replacement Demand, RQF4 HE below degree level, 2015-2035, South West (Continued)</v>
      </c>
      <c r="AT75" s="378"/>
      <c r="AU75" s="378"/>
      <c r="AV75" s="378"/>
      <c r="AW75" s="378"/>
      <c r="AX75" s="378"/>
      <c r="AY75" s="378"/>
      <c r="AZ75" s="378"/>
      <c r="BA75" s="378"/>
      <c r="BB75" s="378"/>
      <c r="BD75" s="378" t="str">
        <f>CONCATENATE(BD$1," (Continued)")</f>
        <v>Basic Table 2.5  Employment Change by Occupation and Replacement Demand, RQF3 A level &amp; equivalent, 2015-2035, South West (Continued)</v>
      </c>
      <c r="BE75" s="378"/>
      <c r="BF75" s="378"/>
      <c r="BG75" s="378"/>
      <c r="BH75" s="378"/>
      <c r="BI75" s="378"/>
      <c r="BJ75" s="378"/>
      <c r="BK75" s="378"/>
      <c r="BL75" s="378"/>
      <c r="BM75" s="378"/>
      <c r="BO75" s="378" t="str">
        <f>CONCATENATE(BO$1," (Continued)")</f>
        <v>Basic Table 2.6  Employment Change by Occupation and Replacement Demand, RQF2 GCSE(A-C) &amp; equivalent, 2015-2035, South West (Continued)</v>
      </c>
      <c r="BP75" s="378"/>
      <c r="BQ75" s="378"/>
      <c r="BR75" s="378"/>
      <c r="BS75" s="378"/>
      <c r="BT75" s="378"/>
      <c r="BU75" s="378"/>
      <c r="BV75" s="378"/>
      <c r="BW75" s="378"/>
      <c r="BX75" s="378"/>
      <c r="BZ75" s="378" t="str">
        <f>CONCATENATE(BZ$1," (Continued)")</f>
        <v>Basic Table 2.7  Employment Change by Occupation and Replacement Demand, RQF1 GCSE(below grade C) &amp; equivalent, 2015-2035, South West (Continued)</v>
      </c>
      <c r="CA75" s="378"/>
      <c r="CB75" s="378"/>
      <c r="CC75" s="378"/>
      <c r="CD75" s="378"/>
      <c r="CE75" s="378"/>
      <c r="CF75" s="378"/>
      <c r="CG75" s="378"/>
      <c r="CH75" s="378"/>
      <c r="CI75" s="378"/>
      <c r="CK75" s="378" t="str">
        <f>CONCATENATE(CK$1," (Continued)")</f>
        <v>Basic Table 2.8  Employment Change by Occupation and Replacement Demand, No Qualification, 2015-2035, South West (Continued)</v>
      </c>
      <c r="CL75" s="378"/>
      <c r="CM75" s="378"/>
      <c r="CN75" s="378"/>
      <c r="CO75" s="378"/>
      <c r="CP75" s="378"/>
      <c r="CQ75" s="378"/>
      <c r="CR75" s="378"/>
      <c r="CS75" s="378"/>
      <c r="CT75" s="378"/>
    </row>
    <row r="77" spans="1:98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2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2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2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8.5380005097091871</v>
      </c>
      <c r="C82" s="17">
        <f t="shared" si="200"/>
        <v>2.5776601760343798</v>
      </c>
      <c r="D82" s="17">
        <f t="shared" si="200"/>
        <v>4.6267678683673319</v>
      </c>
      <c r="E82" s="17">
        <f t="shared" si="200"/>
        <v>4.4535955891115586</v>
      </c>
      <c r="F82" s="17">
        <f t="shared" ref="F82:F107" si="201">IF(AND(F$6-C$6 &lt;&gt; 0,C8&lt;&gt;0,F8&lt;&gt;0),(EXP(LN(F8/C8)/(F$6-C$6))-1)*100,0)</f>
        <v>4.38937528532648</v>
      </c>
      <c r="H82" s="17">
        <f t="shared" ref="H82:H107" si="202">IF($F$6-$D$6 &lt;&gt; 0,(EXP(LN(1+(H45/100))/($F$6-$D$6))-1)*100,0)</f>
        <v>4.511287811534137</v>
      </c>
      <c r="I82" s="17">
        <f t="shared" ref="I82:I107" si="203">IF(D8&gt;0,((1+(I8/D8))^(1/($F$6-$D$6))-1)*100,0)</f>
        <v>3.7263321491486368</v>
      </c>
      <c r="J82" s="17">
        <f t="shared" ref="J82:J107" si="204">IF($F$6-$D$6 &lt;&gt; 0,(EXP(LN(1+(J45/100))/($F$6-$D$6))-1)*100,0)</f>
        <v>6.765134797445671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8.8836522111364715</v>
      </c>
      <c r="N82" s="17">
        <f t="shared" si="205"/>
        <v>0.86590620717998945</v>
      </c>
      <c r="O82" s="17">
        <f t="shared" si="205"/>
        <v>3.5738023597607915</v>
      </c>
      <c r="P82" s="17">
        <f t="shared" si="205"/>
        <v>4.2532648717661603</v>
      </c>
      <c r="Q82" s="17">
        <f t="shared" ref="Q82:Q107" si="206">IF(AND(Q$6-N$6 &lt;&gt; 0,N8&lt;&gt;0,Q8&lt;&gt;0),(EXP(LN(Q8/N8)/(Q$6-N$6))-1)*100,0)</f>
        <v>3.8258905921443764</v>
      </c>
      <c r="S82" s="17">
        <f t="shared" ref="S82:S107" si="207">IF($F$6-$D$6 &lt;&gt; 0,(EXP(LN(1+(S45/100))/($F$6-$D$6))-1)*100,0)</f>
        <v>4.0262835402128827</v>
      </c>
      <c r="T82" s="17">
        <f t="shared" ref="T82:T107" si="208">IF(O8&gt;0,((1+(T8/O8))^(1/($F$6-$D$6))-1)*100,0)</f>
        <v>3.6697335025888789</v>
      </c>
      <c r="U82" s="17">
        <f t="shared" ref="U82:U107" si="209">IF($F$6-$D$6 &lt;&gt; 0,(EXP(LN(1+(U45/100))/($F$6-$D$6))-1)*100,0)</f>
        <v>6.3690700886763985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3.9109699487332117</v>
      </c>
      <c r="Y82" s="17">
        <f t="shared" si="210"/>
        <v>2.45460323123039</v>
      </c>
      <c r="Z82" s="17">
        <f t="shared" si="210"/>
        <v>-3.3508662122749833E-2</v>
      </c>
      <c r="AA82" s="17">
        <f t="shared" si="210"/>
        <v>1.1345696294705165</v>
      </c>
      <c r="AB82" s="17">
        <f t="shared" ref="AB82:AB107" si="211">IF(AND(AB$6-Y$6 &lt;&gt; 0,Y8&lt;&gt;0,AB8&lt;&gt;0),(EXP(LN(AB8/Y8)/(AB$6-Y$6))-1)*100,0)</f>
        <v>0.84979084187077891</v>
      </c>
      <c r="AD82" s="17">
        <f t="shared" ref="AD82:AD107" si="212">IF($F$6-$D$6 &lt;&gt; 0,(EXP(LN(1+(AD45/100))/($F$6-$D$6))-1)*100,0)</f>
        <v>0.74370150541687163</v>
      </c>
      <c r="AE82" s="17">
        <f t="shared" ref="AE82:AE107" si="213">IF(Z8&gt;0,((1+(AE8/Z8))^(1/($F$6-$D$6))-1)*100,0)</f>
        <v>3.2564786629046161</v>
      </c>
      <c r="AF82" s="17">
        <f t="shared" ref="AF82:AF107" si="214">IF($F$6-$D$6 &lt;&gt; 0,(EXP(LN(1+(AF45/100))/($F$6-$D$6))-1)*100,0)</f>
        <v>3.7406443822614488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2.0212073708393508</v>
      </c>
      <c r="AJ82" s="17">
        <f t="shared" si="215"/>
        <v>9.9511939463783108</v>
      </c>
      <c r="AK82" s="17">
        <f t="shared" si="215"/>
        <v>-1.1826224044604872</v>
      </c>
      <c r="AL82" s="17">
        <f t="shared" si="215"/>
        <v>0.61513297402302491</v>
      </c>
      <c r="AM82" s="17">
        <f t="shared" ref="AM82:AM107" si="216">IF(AND(AM$6-AJ$6 &lt;&gt; 0,AJ8&lt;&gt;0,AM8&lt;&gt;0),(EXP(LN(AM8/AJ8)/(AM$6-AJ$6))-1)*100,0)</f>
        <v>0.60625354062060488</v>
      </c>
      <c r="AO82" s="17">
        <f t="shared" ref="AO82:AO107" si="217">IF($F$6-$D$6 &lt;&gt; 0,(EXP(LN(1+(AO45/100))/($F$6-$D$6))-1)*100,0)</f>
        <v>1.2276252716558744E-2</v>
      </c>
      <c r="AP82" s="17">
        <f t="shared" ref="AP82:AP107" si="218">IF(AK8&gt;0,((1+(AP8/AK8))^(1/($F$6-$D$6))-1)*100,0)</f>
        <v>2.8548711439813967</v>
      </c>
      <c r="AQ82" s="17">
        <f t="shared" ref="AQ82:AQ107" si="219">IF($F$6-$D$6 &lt;&gt; 0,(EXP(LN(1+(AQ45/100))/($F$6-$D$6))-1)*100,0)</f>
        <v>2.8631514465415231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2.0309804884773186</v>
      </c>
      <c r="AU82" s="17">
        <f t="shared" si="220"/>
        <v>8.5900637593090412</v>
      </c>
      <c r="AV82" s="17">
        <f t="shared" si="220"/>
        <v>-1.2639828645591988</v>
      </c>
      <c r="AW82" s="17">
        <f t="shared" si="220"/>
        <v>0.73521200048505264</v>
      </c>
      <c r="AX82" s="17">
        <f t="shared" ref="AX82:AX107" si="221">IF(AND(AX$6-AU$6 &lt;&gt; 0,AU8&lt;&gt;0,AX8&lt;&gt;0),(EXP(LN(AX8/AU8)/(AX$6-AU$6))-1)*100,0)</f>
        <v>0.5770335758187084</v>
      </c>
      <c r="AZ82" s="17">
        <f t="shared" ref="AZ82:AZ107" si="222">IF($F$6-$D$6 &lt;&gt; 0,(EXP(LN(1+(AZ45/100))/($F$6-$D$6))-1)*100,0)</f>
        <v>6.4355998485821075E-2</v>
      </c>
      <c r="BA82" s="17">
        <f t="shared" ref="BA82:BA107" si="223">IF(AV8&gt;0,((1+(BA8/AV8))^(1/($F$6-$D$6))-1)*100,0)</f>
        <v>2.8920397643182882</v>
      </c>
      <c r="BB82" s="17">
        <f t="shared" ref="BB82:BB107" si="224">IF($F$6-$D$6 &lt;&gt; 0,(EXP(LN(1+(BB45/100))/($F$6-$D$6))-1)*100,0)</f>
        <v>2.935283532775923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4.6895369389894137</v>
      </c>
      <c r="BF82" s="17">
        <f t="shared" si="225"/>
        <v>1.0924650926862567</v>
      </c>
      <c r="BG82" s="17">
        <f t="shared" si="225"/>
        <v>-3.0415469801456929</v>
      </c>
      <c r="BH82" s="17">
        <f t="shared" si="225"/>
        <v>0.36447304241045142</v>
      </c>
      <c r="BI82" s="17">
        <f t="shared" ref="BI82:BI107" si="226">IF(AND(BI$6-BF$6 &lt;&gt; 0,BF8&lt;&gt;0,BI8&lt;&gt;0),(EXP(LN(BI8/BF8)/(BI$6-BF$6))-1)*100,0)</f>
        <v>-0.66770860454067327</v>
      </c>
      <c r="BK82" s="17">
        <f t="shared" ref="BK82:BK107" si="227">IF($F$6-$D$6 &lt;&gt; 0,(EXP(LN(1+(BK45/100))/($F$6-$D$6))-1)*100,0)</f>
        <v>-0.78395788288664336</v>
      </c>
      <c r="BL82" s="17">
        <f t="shared" ref="BL82:BL107" si="228">IF(BG8&gt;0,((1+(BL8/BG8))^(1/($F$6-$D$6))-1)*100,0)</f>
        <v>2.1036083719695453</v>
      </c>
      <c r="BM82" s="17">
        <f t="shared" ref="BM82:BM107" si="229">IF($F$6-$D$6 &lt;&gt; 0,(EXP(LN(1+(BM45/100))/($F$6-$D$6))-1)*100,0)</f>
        <v>1.5266577230102385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1.4217499619360918</v>
      </c>
      <c r="BQ82" s="17">
        <f t="shared" si="230"/>
        <v>5.5731513375927966</v>
      </c>
      <c r="BR82" s="17">
        <f t="shared" si="230"/>
        <v>-5.6888398385968149</v>
      </c>
      <c r="BS82" s="17">
        <f t="shared" si="230"/>
        <v>-2.9918747793334255</v>
      </c>
      <c r="BT82" s="17">
        <f t="shared" ref="BT82:BT107" si="231">IF(AND(BT$6-BQ$6 &lt;&gt; 0,BQ8&lt;&gt;0,BT8&lt;&gt;0),(EXP(LN(BT8/BQ8)/(BT$6-BQ$6))-1)*100,0)</f>
        <v>-3.3330252496129198</v>
      </c>
      <c r="BV82" s="17">
        <f t="shared" ref="BV82:BV107" si="232">IF($F$6-$D$6 &lt;&gt; 0,(EXP(LN(1+(BV45/100))/($F$6-$D$6))-1)*100,0)</f>
        <v>-3.8993252975171311</v>
      </c>
      <c r="BW82" s="17">
        <f t="shared" ref="BW82:BW107" si="233">IF(BR8&gt;0,((1+(BW8/BR8))^(1/($F$6-$D$6))-1)*100,0)</f>
        <v>1.9432610890530722</v>
      </c>
      <c r="BX82" s="17">
        <f t="shared" ref="BX82:BX107" si="234">IF($F$6-$D$6 &lt;&gt; 0,(EXP(LN(1+(BX45/100))/($F$6-$D$6))-1)*100,0)</f>
        <v>-0.80846430872456576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8.746638906873617</v>
      </c>
      <c r="CB82" s="17">
        <f t="shared" si="235"/>
        <v>-1.2067580489804164</v>
      </c>
      <c r="CC82" s="17">
        <f t="shared" si="235"/>
        <v>-3.0088052125897491</v>
      </c>
      <c r="CD82" s="17">
        <f t="shared" si="235"/>
        <v>-1.1481319874639961</v>
      </c>
      <c r="CE82" s="17">
        <f t="shared" ref="CE82:CE107" si="236">IF(AND(CE$6-CB$6 &lt;&gt; 0,CB8&lt;&gt;0,CE8&lt;&gt;0),(EXP(LN(CE8/CB8)/(CE$6-CB$6))-1)*100,0)</f>
        <v>-1.7370384169075992</v>
      </c>
      <c r="CG82" s="17">
        <f t="shared" ref="CG82:CG107" si="237">IF($F$6-$D$6 &lt;&gt; 0,(EXP(LN(1+(CG45/100))/($F$6-$D$6))-1)*100,0)</f>
        <v>-1.7722890694762294</v>
      </c>
      <c r="CH82" s="17">
        <f t="shared" ref="CH82:CH107" si="238">IF(CC8&gt;0,((1+(CH8/CC8))^(1/($F$6-$D$6))-1)*100,0)</f>
        <v>1.9037155867308808</v>
      </c>
      <c r="CI82" s="17">
        <f t="shared" ref="CI82:CI107" si="239">IF($F$6-$D$6 &lt;&gt; 0,(EXP(LN(1+(CI45/100))/($F$6-$D$6))-1)*100,0)</f>
        <v>0.58644247340253752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7.4575170122501033</v>
      </c>
      <c r="CM82" s="17">
        <f t="shared" si="240"/>
        <v>26.754541459740967</v>
      </c>
      <c r="CN82" s="17">
        <f t="shared" si="240"/>
        <v>-5.2961094052120794</v>
      </c>
      <c r="CO82" s="17">
        <f t="shared" si="240"/>
        <v>-1.8174000976559079</v>
      </c>
      <c r="CP82" s="17">
        <f t="shared" ref="CP82:CP107" si="241">IF(AND(CP$6-CM$6 &lt;&gt; 0,CM8&lt;&gt;0,CP8&lt;&gt;0),(EXP(LN(CP8/CM8)/(CP$6-CM$6))-1)*100,0)</f>
        <v>-1.3557569317908968</v>
      </c>
      <c r="CR82" s="17">
        <f t="shared" ref="CR82:CR107" si="242">IF($F$6-$D$6 &lt;&gt; 0,(EXP(LN(1+(CR45/100))/($F$6-$D$6))-1)*100,0)</f>
        <v>-2.9909408854711939</v>
      </c>
      <c r="CS82" s="17">
        <f t="shared" ref="CS82:CS107" si="243">IF(CN8&gt;0,((1+(CS8/CN8))^(1/($F$6-$D$6))-1)*100,0)</f>
        <v>1.5805346067020221</v>
      </c>
      <c r="CT82" s="17">
        <f t="shared" ref="CT82:CT107" si="244">IF($F$6-$D$6 &lt;&gt; 0,(EXP(LN(1+(CT45/100))/($F$6-$D$6))-1)*100,0)</f>
        <v>-0.70484485224758808</v>
      </c>
    </row>
    <row r="83" spans="1:98" x14ac:dyDescent="0.2">
      <c r="A83" t="str">
        <f t="shared" si="199"/>
        <v>12 Other managers and proprietors</v>
      </c>
      <c r="B83" s="17">
        <f t="shared" si="200"/>
        <v>7.8452570467223204</v>
      </c>
      <c r="C83" s="17">
        <f t="shared" si="200"/>
        <v>-10.526264983095402</v>
      </c>
      <c r="D83" s="17">
        <f t="shared" si="200"/>
        <v>11.331775422600865</v>
      </c>
      <c r="E83" s="17">
        <f t="shared" si="200"/>
        <v>5.2280938112178044</v>
      </c>
      <c r="F83" s="17">
        <f t="shared" si="201"/>
        <v>6.0185272973633408</v>
      </c>
      <c r="H83" s="17">
        <f t="shared" si="202"/>
        <v>7.2245372168259658</v>
      </c>
      <c r="I83" s="17">
        <f t="shared" si="203"/>
        <v>5.3674743042958495</v>
      </c>
      <c r="J83" s="17">
        <f t="shared" si="204"/>
        <v>9.7515566542298426</v>
      </c>
      <c r="L83" t="str">
        <f t="shared" ref="L83:L106" si="245">A83</f>
        <v>12 Other managers and proprietors</v>
      </c>
      <c r="M83" s="17">
        <f t="shared" si="205"/>
        <v>7.80477298843687</v>
      </c>
      <c r="N83" s="17">
        <f t="shared" si="205"/>
        <v>-0.68972671530593832</v>
      </c>
      <c r="O83" s="17">
        <f t="shared" si="205"/>
        <v>10.276030350262634</v>
      </c>
      <c r="P83" s="17">
        <f t="shared" si="205"/>
        <v>5.4045582282590265</v>
      </c>
      <c r="Q83" s="17">
        <f t="shared" si="206"/>
        <v>6.5061307730500895</v>
      </c>
      <c r="S83" s="17">
        <f t="shared" si="207"/>
        <v>7.003989400404631</v>
      </c>
      <c r="T83" s="17">
        <f t="shared" si="208"/>
        <v>5.1946976870910655</v>
      </c>
      <c r="U83" s="17">
        <f t="shared" si="209"/>
        <v>9.4939370398274381</v>
      </c>
      <c r="W83" t="str">
        <f t="shared" ref="W83:W106" si="246">A83</f>
        <v>12 Other managers and proprietors</v>
      </c>
      <c r="X83" s="17">
        <f t="shared" si="210"/>
        <v>2.4643165157572922</v>
      </c>
      <c r="Y83" s="17">
        <f t="shared" si="210"/>
        <v>1.3113231650865087</v>
      </c>
      <c r="Z83" s="17">
        <f t="shared" si="210"/>
        <v>6.7035714663158608</v>
      </c>
      <c r="AA83" s="17">
        <f t="shared" si="210"/>
        <v>1.9995815429648234</v>
      </c>
      <c r="AB83" s="17">
        <f t="shared" si="211"/>
        <v>3.4030958864768701</v>
      </c>
      <c r="AD83" s="17">
        <f t="shared" si="212"/>
        <v>3.544073235855838</v>
      </c>
      <c r="AE83" s="17">
        <f t="shared" si="213"/>
        <v>4.6787873884391651</v>
      </c>
      <c r="AF83" s="17">
        <f t="shared" si="214"/>
        <v>6.7706155356897391</v>
      </c>
      <c r="AH83" t="str">
        <f t="shared" ref="AH83:AH106" si="247">L83</f>
        <v>12 Other managers and proprietors</v>
      </c>
      <c r="AI83" s="17">
        <f t="shared" si="215"/>
        <v>1.4529819694442558</v>
      </c>
      <c r="AJ83" s="17">
        <f t="shared" si="215"/>
        <v>8.5702769761763378</v>
      </c>
      <c r="AK83" s="17">
        <f t="shared" si="215"/>
        <v>4.7467035306095529</v>
      </c>
      <c r="AL83" s="17">
        <f t="shared" si="215"/>
        <v>2.1762399386804132</v>
      </c>
      <c r="AM83" s="17">
        <f t="shared" si="216"/>
        <v>3.3640448605936735</v>
      </c>
      <c r="AO83" s="17">
        <f t="shared" si="217"/>
        <v>3.0259748406551656</v>
      </c>
      <c r="AP83" s="17">
        <f t="shared" si="218"/>
        <v>4.2732151795641382</v>
      </c>
      <c r="AQ83" s="17">
        <f t="shared" si="219"/>
        <v>6.1186191237512677</v>
      </c>
      <c r="AS83" t="str">
        <f t="shared" ref="AS83:AS106" si="248">W83</f>
        <v>12 Other managers and proprietors</v>
      </c>
      <c r="AT83" s="17">
        <f t="shared" si="220"/>
        <v>1.4599022321835964</v>
      </c>
      <c r="AU83" s="17">
        <f t="shared" si="220"/>
        <v>4.0767119115665773</v>
      </c>
      <c r="AV83" s="17">
        <f t="shared" si="220"/>
        <v>5.6569325582031205</v>
      </c>
      <c r="AW83" s="17">
        <f t="shared" si="220"/>
        <v>0.85945652097920711</v>
      </c>
      <c r="AX83" s="17">
        <f t="shared" si="221"/>
        <v>2.5358206974021691</v>
      </c>
      <c r="AZ83" s="17">
        <f t="shared" si="222"/>
        <v>2.433909523462674</v>
      </c>
      <c r="BA83" s="17">
        <f t="shared" si="223"/>
        <v>4.1277306646920975</v>
      </c>
      <c r="BB83" s="17">
        <f t="shared" si="224"/>
        <v>5.6134583166222329</v>
      </c>
      <c r="BD83" t="str">
        <f t="shared" ref="BD83:BD106" si="249">AH83</f>
        <v>12 Other managers and proprietors</v>
      </c>
      <c r="BE83" s="17">
        <f t="shared" si="225"/>
        <v>-5.2614012706297952E-2</v>
      </c>
      <c r="BF83" s="17">
        <f t="shared" si="225"/>
        <v>2.4157204143428368</v>
      </c>
      <c r="BG83" s="17">
        <f t="shared" si="225"/>
        <v>2.1816758206534503</v>
      </c>
      <c r="BH83" s="17">
        <f t="shared" si="225"/>
        <v>0.6893649327939233</v>
      </c>
      <c r="BI83" s="17">
        <f t="shared" si="226"/>
        <v>1.260888595682208</v>
      </c>
      <c r="BK83" s="17">
        <f t="shared" si="227"/>
        <v>1.1843644380669094</v>
      </c>
      <c r="BL83" s="17">
        <f t="shared" si="228"/>
        <v>2.6999716253548689</v>
      </c>
      <c r="BM83" s="17">
        <f t="shared" si="229"/>
        <v>3.5373142769272947</v>
      </c>
      <c r="BO83" t="str">
        <f t="shared" ref="BO83:BO106" si="250">AS83</f>
        <v>12 Other managers and proprietors</v>
      </c>
      <c r="BP83" s="17">
        <f t="shared" si="230"/>
        <v>0.55259143309380754</v>
      </c>
      <c r="BQ83" s="17">
        <f t="shared" si="230"/>
        <v>1.3276017871953538</v>
      </c>
      <c r="BR83" s="17">
        <f t="shared" si="230"/>
        <v>1.3384732717504511</v>
      </c>
      <c r="BS83" s="17">
        <f t="shared" si="230"/>
        <v>-1.884706589716223</v>
      </c>
      <c r="BT83" s="17">
        <f t="shared" si="231"/>
        <v>-0.68887224583720208</v>
      </c>
      <c r="BV83" s="17">
        <f t="shared" si="232"/>
        <v>-0.8218681221609403</v>
      </c>
      <c r="BW83" s="17">
        <f t="shared" si="233"/>
        <v>2.9712986718414269</v>
      </c>
      <c r="BX83" s="17">
        <f t="shared" si="234"/>
        <v>2.4371473201473259</v>
      </c>
      <c r="BZ83" t="str">
        <f t="shared" ref="BZ83:BZ106" si="251">BD83</f>
        <v>12 Other managers and proprietors</v>
      </c>
      <c r="CA83" s="17">
        <f t="shared" si="235"/>
        <v>7.0754541750701838</v>
      </c>
      <c r="CB83" s="17">
        <f t="shared" si="235"/>
        <v>-5.1028659562982748</v>
      </c>
      <c r="CC83" s="17">
        <f t="shared" si="235"/>
        <v>1.5621471394508424</v>
      </c>
      <c r="CD83" s="17">
        <f t="shared" si="235"/>
        <v>-1.5086701560833027</v>
      </c>
      <c r="CE83" s="17">
        <f t="shared" si="236"/>
        <v>-0.7899245386027598</v>
      </c>
      <c r="CG83" s="17">
        <f t="shared" si="237"/>
        <v>-0.49552204984263382</v>
      </c>
      <c r="CH83" s="17">
        <f t="shared" si="238"/>
        <v>2.4809755353950136</v>
      </c>
      <c r="CI83" s="17">
        <f t="shared" si="239"/>
        <v>2.1331637592598263</v>
      </c>
      <c r="CK83" t="str">
        <f t="shared" ref="CK83:CK106" si="252">BO83</f>
        <v>12 Other managers and proprietors</v>
      </c>
      <c r="CL83" s="17">
        <f t="shared" si="240"/>
        <v>-0.72125309685665551</v>
      </c>
      <c r="CM83" s="17">
        <f t="shared" si="240"/>
        <v>30.254255904162818</v>
      </c>
      <c r="CN83" s="17">
        <f t="shared" si="240"/>
        <v>-0.14842574611698689</v>
      </c>
      <c r="CO83" s="17">
        <f t="shared" si="240"/>
        <v>0.24758185661473142</v>
      </c>
      <c r="CP83" s="17">
        <f t="shared" si="241"/>
        <v>1.7756998457172823</v>
      </c>
      <c r="CR83" s="17">
        <f t="shared" si="242"/>
        <v>0.11540512355170396</v>
      </c>
      <c r="CS83" s="17">
        <f t="shared" si="243"/>
        <v>2.1544977519871722</v>
      </c>
      <c r="CT83" s="17">
        <f t="shared" si="244"/>
        <v>2.2403153343838689</v>
      </c>
    </row>
    <row r="84" spans="1:98" x14ac:dyDescent="0.2">
      <c r="A84" t="str">
        <f t="shared" si="199"/>
        <v>21 Science, research, engineering and technology professionals</v>
      </c>
      <c r="B84" s="17">
        <f t="shared" si="200"/>
        <v>7.7277121659523385</v>
      </c>
      <c r="C84" s="17">
        <f t="shared" si="200"/>
        <v>-2.4656615499719203</v>
      </c>
      <c r="D84" s="17">
        <f t="shared" si="200"/>
        <v>5.3204685637340932</v>
      </c>
      <c r="E84" s="17">
        <f t="shared" si="200"/>
        <v>3.7798482299821412</v>
      </c>
      <c r="F84" s="17">
        <f t="shared" si="201"/>
        <v>3.8551973884050295</v>
      </c>
      <c r="H84" s="17">
        <f t="shared" si="202"/>
        <v>4.2908679122076299</v>
      </c>
      <c r="I84" s="17">
        <f t="shared" si="203"/>
        <v>2.8974931257363945</v>
      </c>
      <c r="J84" s="17">
        <f t="shared" si="204"/>
        <v>6.0479320873068509</v>
      </c>
      <c r="L84" t="str">
        <f t="shared" si="245"/>
        <v>21 Science, research, engineering and technology professionals</v>
      </c>
      <c r="M84" s="17">
        <f t="shared" si="205"/>
        <v>8.213612448993679</v>
      </c>
      <c r="N84" s="17">
        <f t="shared" si="205"/>
        <v>1.0858469938386239</v>
      </c>
      <c r="O84" s="17">
        <f t="shared" si="205"/>
        <v>6.2138455525825087</v>
      </c>
      <c r="P84" s="17">
        <f t="shared" si="205"/>
        <v>3.9856901008242795</v>
      </c>
      <c r="Q84" s="17">
        <f t="shared" si="206"/>
        <v>4.4920471485881963</v>
      </c>
      <c r="S84" s="17">
        <f t="shared" si="207"/>
        <v>4.7231659750053501</v>
      </c>
      <c r="T84" s="17">
        <f t="shared" si="208"/>
        <v>3.1456953377508645</v>
      </c>
      <c r="U84" s="17">
        <f t="shared" si="209"/>
        <v>6.5487728867497097</v>
      </c>
      <c r="W84" t="str">
        <f t="shared" si="246"/>
        <v>21 Science, research, engineering and technology professionals</v>
      </c>
      <c r="X84" s="17">
        <f t="shared" si="210"/>
        <v>1.6176741311771048</v>
      </c>
      <c r="Y84" s="17">
        <f t="shared" si="210"/>
        <v>1.9031600115434921</v>
      </c>
      <c r="Z84" s="17">
        <f t="shared" si="210"/>
        <v>1.1568161951118094</v>
      </c>
      <c r="AA84" s="17">
        <f t="shared" si="210"/>
        <v>0.233638495253774</v>
      </c>
      <c r="AB84" s="17">
        <f t="shared" si="211"/>
        <v>0.62505898467508647</v>
      </c>
      <c r="AD84" s="17">
        <f t="shared" si="212"/>
        <v>0.54042445479727252</v>
      </c>
      <c r="AE84" s="17">
        <f t="shared" si="213"/>
        <v>2.4292284767446271</v>
      </c>
      <c r="AF84" s="17">
        <f t="shared" si="214"/>
        <v>2.8197771029147001</v>
      </c>
      <c r="AH84" t="str">
        <f t="shared" si="247"/>
        <v>21 Science, research, engineering and technology professionals</v>
      </c>
      <c r="AI84" s="17">
        <f t="shared" si="215"/>
        <v>-0.26851338834217309</v>
      </c>
      <c r="AJ84" s="17">
        <f t="shared" si="215"/>
        <v>14.523507270170487</v>
      </c>
      <c r="AK84" s="17">
        <f t="shared" si="215"/>
        <v>1.1052267724152021</v>
      </c>
      <c r="AL84" s="17">
        <f t="shared" si="215"/>
        <v>0.70501240130236287</v>
      </c>
      <c r="AM84" s="17">
        <f t="shared" si="216"/>
        <v>1.6434966646985627</v>
      </c>
      <c r="AO84" s="17">
        <f t="shared" si="217"/>
        <v>0.83824085835320084</v>
      </c>
      <c r="AP84" s="17">
        <f t="shared" si="218"/>
        <v>2.4083561968037515</v>
      </c>
      <c r="AQ84" s="17">
        <f t="shared" si="219"/>
        <v>3.0194423793055147</v>
      </c>
      <c r="AS84" t="str">
        <f t="shared" si="248"/>
        <v>21 Science, research, engineering and technology professionals</v>
      </c>
      <c r="AT84" s="17">
        <f t="shared" si="220"/>
        <v>0.75894091608976755</v>
      </c>
      <c r="AU84" s="17">
        <f t="shared" si="220"/>
        <v>-0.63857656800113682</v>
      </c>
      <c r="AV84" s="17">
        <f t="shared" si="220"/>
        <v>-0.98062877978462026</v>
      </c>
      <c r="AW84" s="17">
        <f t="shared" si="220"/>
        <v>-0.49846197752571042</v>
      </c>
      <c r="AX84" s="17">
        <f t="shared" si="221"/>
        <v>-0.65814043576621906</v>
      </c>
      <c r="AZ84" s="17">
        <f t="shared" si="222"/>
        <v>-0.65944455664713741</v>
      </c>
      <c r="BA84" s="17">
        <f t="shared" si="223"/>
        <v>2.0633536725007673</v>
      </c>
      <c r="BB84" s="17">
        <f t="shared" si="224"/>
        <v>1.5740482614139406</v>
      </c>
      <c r="BD84" t="str">
        <f t="shared" si="249"/>
        <v>21 Science, research, engineering and technology professionals</v>
      </c>
      <c r="BE84" s="17">
        <f t="shared" si="225"/>
        <v>2.9214214925671778</v>
      </c>
      <c r="BF84" s="17">
        <f t="shared" si="225"/>
        <v>4.7310325137846831</v>
      </c>
      <c r="BG84" s="17">
        <f t="shared" si="225"/>
        <v>-1.864297174414864</v>
      </c>
      <c r="BH84" s="17">
        <f t="shared" si="225"/>
        <v>-0.29648957545047594</v>
      </c>
      <c r="BI84" s="17">
        <f t="shared" si="226"/>
        <v>-0.48359208089584493</v>
      </c>
      <c r="BK84" s="17">
        <f t="shared" si="227"/>
        <v>-0.82185554789333537</v>
      </c>
      <c r="BL84" s="17">
        <f t="shared" si="228"/>
        <v>1.5266627298566426</v>
      </c>
      <c r="BM84" s="17">
        <f t="shared" si="229"/>
        <v>0.86988061683810347</v>
      </c>
      <c r="BO84" t="str">
        <f t="shared" si="250"/>
        <v>21 Science, research, engineering and technology professionals</v>
      </c>
      <c r="BP84" s="17">
        <f t="shared" si="230"/>
        <v>0.89533325067578939</v>
      </c>
      <c r="BQ84" s="17">
        <f t="shared" si="230"/>
        <v>10.776925234901968</v>
      </c>
      <c r="BR84" s="17">
        <f t="shared" si="230"/>
        <v>-3.2294096083685386</v>
      </c>
      <c r="BS84" s="17">
        <f t="shared" si="230"/>
        <v>-2.1605528200195012</v>
      </c>
      <c r="BT84" s="17">
        <f t="shared" si="231"/>
        <v>-1.7360687278517584</v>
      </c>
      <c r="BV84" s="17">
        <f t="shared" si="232"/>
        <v>-2.5181437741445434</v>
      </c>
      <c r="BW84" s="17">
        <f t="shared" si="233"/>
        <v>1.6698196439490554</v>
      </c>
      <c r="BX84" s="17">
        <f t="shared" si="234"/>
        <v>-0.24349002384896901</v>
      </c>
      <c r="BZ84" t="str">
        <f t="shared" si="251"/>
        <v>21 Science, research, engineering and technology professionals</v>
      </c>
      <c r="CA84" s="17">
        <f t="shared" si="235"/>
        <v>8.4272263836163486</v>
      </c>
      <c r="CB84" s="17">
        <f t="shared" si="235"/>
        <v>0.20981441548268975</v>
      </c>
      <c r="CC84" s="17">
        <f t="shared" si="235"/>
        <v>-2.1932109413946854</v>
      </c>
      <c r="CD84" s="17">
        <f t="shared" si="235"/>
        <v>-2.9570276946576879</v>
      </c>
      <c r="CE84" s="17">
        <f t="shared" si="236"/>
        <v>-2.5235374080434525</v>
      </c>
      <c r="CG84" s="17">
        <f t="shared" si="237"/>
        <v>-2.7030871972916204</v>
      </c>
      <c r="CH84" s="17">
        <f t="shared" si="238"/>
        <v>1.377616103838486</v>
      </c>
      <c r="CI84" s="17">
        <f t="shared" si="239"/>
        <v>-0.76817834244771177</v>
      </c>
      <c r="CK84" t="str">
        <f t="shared" si="252"/>
        <v>21 Science, research, engineering and technology professionals</v>
      </c>
      <c r="CL84" s="17">
        <f t="shared" si="240"/>
        <v>9.1438607888372658</v>
      </c>
      <c r="CM84" s="17">
        <f t="shared" si="240"/>
        <v>52.403854751133139</v>
      </c>
      <c r="CN84" s="17">
        <f t="shared" si="240"/>
        <v>-1.4320095584408499</v>
      </c>
      <c r="CO84" s="17">
        <f t="shared" si="240"/>
        <v>-0.81024497522614869</v>
      </c>
      <c r="CP84" s="17">
        <f t="shared" si="241"/>
        <v>1.6884148651301389</v>
      </c>
      <c r="CR84" s="17">
        <f t="shared" si="242"/>
        <v>-1.0179344053034889</v>
      </c>
      <c r="CS84" s="17">
        <f t="shared" si="243"/>
        <v>1.5960705882597237</v>
      </c>
      <c r="CT84" s="17">
        <f t="shared" si="244"/>
        <v>0.7932353133000225</v>
      </c>
    </row>
    <row r="85" spans="1:98" x14ac:dyDescent="0.2">
      <c r="A85" t="str">
        <f t="shared" si="199"/>
        <v>22 Health professionals</v>
      </c>
      <c r="B85" s="17">
        <f t="shared" si="200"/>
        <v>6.7964485233863448</v>
      </c>
      <c r="C85" s="17">
        <f t="shared" si="200"/>
        <v>0.66846393454549347</v>
      </c>
      <c r="D85" s="17">
        <f t="shared" si="200"/>
        <v>6.7533525322590382</v>
      </c>
      <c r="E85" s="17">
        <f t="shared" si="200"/>
        <v>4.5051383062478578</v>
      </c>
      <c r="F85" s="17">
        <f t="shared" si="201"/>
        <v>4.9569238664230131</v>
      </c>
      <c r="H85" s="17">
        <f t="shared" si="202"/>
        <v>5.2492323992546552</v>
      </c>
      <c r="I85" s="17">
        <f t="shared" si="203"/>
        <v>3.8763772283833875</v>
      </c>
      <c r="J85" s="17">
        <f t="shared" si="204"/>
        <v>7.4133126962896201</v>
      </c>
      <c r="L85" t="str">
        <f t="shared" si="245"/>
        <v>22 Health professionals</v>
      </c>
      <c r="M85" s="17">
        <f t="shared" si="205"/>
        <v>7.6210915383007949</v>
      </c>
      <c r="N85" s="17">
        <f t="shared" si="205"/>
        <v>-1.3961353920127983</v>
      </c>
      <c r="O85" s="17">
        <f t="shared" si="205"/>
        <v>5.6492496284715088</v>
      </c>
      <c r="P85" s="17">
        <f t="shared" si="205"/>
        <v>4.1161137633220601</v>
      </c>
      <c r="Q85" s="17">
        <f t="shared" si="206"/>
        <v>4.2378258824033121</v>
      </c>
      <c r="S85" s="17">
        <f t="shared" si="207"/>
        <v>4.6246709497429705</v>
      </c>
      <c r="T85" s="17">
        <f t="shared" si="208"/>
        <v>3.8773299851472487</v>
      </c>
      <c r="U85" s="17">
        <f t="shared" si="209"/>
        <v>6.9494576279712339</v>
      </c>
      <c r="W85" t="str">
        <f t="shared" si="246"/>
        <v>22 Health professionals</v>
      </c>
      <c r="X85" s="17">
        <f t="shared" si="210"/>
        <v>1.9801327788422585</v>
      </c>
      <c r="Y85" s="17">
        <f t="shared" si="210"/>
        <v>1.9745517888433817</v>
      </c>
      <c r="Z85" s="17">
        <f t="shared" si="210"/>
        <v>2.9685663493428383</v>
      </c>
      <c r="AA85" s="17">
        <f t="shared" si="210"/>
        <v>1.0391735934459634</v>
      </c>
      <c r="AB85" s="17">
        <f t="shared" si="211"/>
        <v>1.6967471391093891</v>
      </c>
      <c r="AD85" s="17">
        <f t="shared" si="212"/>
        <v>1.6782537607855863</v>
      </c>
      <c r="AE85" s="17">
        <f t="shared" si="213"/>
        <v>3.5774493227844539</v>
      </c>
      <c r="AF85" s="17">
        <f t="shared" si="214"/>
        <v>4.6516051084924293</v>
      </c>
      <c r="AH85" t="str">
        <f t="shared" si="247"/>
        <v>22 Health professionals</v>
      </c>
      <c r="AI85" s="17">
        <f t="shared" si="215"/>
        <v>-7.6167727201750353</v>
      </c>
      <c r="AJ85" s="17">
        <f t="shared" si="215"/>
        <v>-8.2607286279560483</v>
      </c>
      <c r="AK85" s="17">
        <f t="shared" si="215"/>
        <v>-9.4244474258897259</v>
      </c>
      <c r="AL85" s="17">
        <f t="shared" si="215"/>
        <v>-9.1050887307338115</v>
      </c>
      <c r="AM85" s="17">
        <f t="shared" si="216"/>
        <v>-9.1525227749926668</v>
      </c>
      <c r="AO85" s="17">
        <f t="shared" si="217"/>
        <v>-9.2116665469080807</v>
      </c>
      <c r="AP85" s="17">
        <f t="shared" si="218"/>
        <v>1.2532568517768627</v>
      </c>
      <c r="AQ85" s="17">
        <f t="shared" si="219"/>
        <v>-5.3250164132182087</v>
      </c>
      <c r="AS85" t="str">
        <f t="shared" si="248"/>
        <v>22 Health professionals</v>
      </c>
      <c r="AT85" s="17">
        <f t="shared" si="220"/>
        <v>1.9677100549179372</v>
      </c>
      <c r="AU85" s="17">
        <f t="shared" si="220"/>
        <v>12.22400768545282</v>
      </c>
      <c r="AV85" s="17">
        <f t="shared" si="220"/>
        <v>2.3085815239954677</v>
      </c>
      <c r="AW85" s="17">
        <f t="shared" si="220"/>
        <v>1.1500915738052342</v>
      </c>
      <c r="AX85" s="17">
        <f t="shared" si="221"/>
        <v>2.1719790949222606</v>
      </c>
      <c r="AZ85" s="17">
        <f t="shared" si="222"/>
        <v>1.5347899344101856</v>
      </c>
      <c r="BA85" s="17">
        <f t="shared" si="223"/>
        <v>3.2491411930361203</v>
      </c>
      <c r="BB85" s="17">
        <f t="shared" si="224"/>
        <v>4.269153231443501</v>
      </c>
      <c r="BD85" t="str">
        <f t="shared" si="249"/>
        <v>22 Health professionals</v>
      </c>
      <c r="BE85" s="17">
        <f t="shared" si="225"/>
        <v>8.1297691040008502</v>
      </c>
      <c r="BF85" s="17">
        <f t="shared" si="225"/>
        <v>-0.68207654398771966</v>
      </c>
      <c r="BG85" s="17">
        <f t="shared" si="225"/>
        <v>2.7336008382690347</v>
      </c>
      <c r="BH85" s="17">
        <f t="shared" si="225"/>
        <v>1.1858091211638611</v>
      </c>
      <c r="BI85" s="17">
        <f t="shared" si="226"/>
        <v>1.5486471364079435</v>
      </c>
      <c r="BK85" s="17">
        <f t="shared" si="227"/>
        <v>1.6991311744525062</v>
      </c>
      <c r="BL85" s="17">
        <f t="shared" si="228"/>
        <v>3.2947690238366745</v>
      </c>
      <c r="BM85" s="17">
        <f t="shared" si="229"/>
        <v>4.4220361125288932</v>
      </c>
      <c r="BO85" t="str">
        <f t="shared" si="250"/>
        <v>22 Health professionals</v>
      </c>
      <c r="BP85" s="17">
        <f t="shared" si="230"/>
        <v>4.2109384190032406</v>
      </c>
      <c r="BQ85" s="17">
        <f t="shared" si="230"/>
        <v>-4.5530231347457146</v>
      </c>
      <c r="BR85" s="17">
        <f t="shared" si="230"/>
        <v>-0.81150768212349123</v>
      </c>
      <c r="BS85" s="17">
        <f t="shared" si="230"/>
        <v>-2.7262528653288931</v>
      </c>
      <c r="BT85" s="17">
        <f t="shared" si="231"/>
        <v>-2.2477938765325889</v>
      </c>
      <c r="BV85" s="17">
        <f t="shared" si="232"/>
        <v>-2.0921470470351422</v>
      </c>
      <c r="BW85" s="17">
        <f t="shared" si="233"/>
        <v>2.5117482368633981</v>
      </c>
      <c r="BX85" s="17">
        <f t="shared" si="234"/>
        <v>1.1038861247448795</v>
      </c>
      <c r="BZ85" t="str">
        <f t="shared" si="251"/>
        <v>22 Health professionals</v>
      </c>
      <c r="CA85" s="17">
        <f t="shared" si="235"/>
        <v>9.7648631942086173</v>
      </c>
      <c r="CB85" s="17">
        <f t="shared" si="235"/>
        <v>-7.7509603392034272</v>
      </c>
      <c r="CC85" s="17">
        <f t="shared" si="235"/>
        <v>-0.71259398338401336</v>
      </c>
      <c r="CD85" s="17">
        <f t="shared" si="235"/>
        <v>-3.1009227044792254</v>
      </c>
      <c r="CE85" s="17">
        <f t="shared" si="236"/>
        <v>-2.6604535712406729</v>
      </c>
      <c r="CG85" s="17">
        <f t="shared" si="237"/>
        <v>-2.3112657409175896</v>
      </c>
      <c r="CH85" s="17">
        <f t="shared" si="238"/>
        <v>1.9345521267348786</v>
      </c>
      <c r="CI85" s="17">
        <f t="shared" si="239"/>
        <v>0.24331920139841756</v>
      </c>
      <c r="CK85" t="str">
        <f t="shared" si="252"/>
        <v>22 Health professionals</v>
      </c>
      <c r="CL85" s="17">
        <f t="shared" si="240"/>
        <v>4.0980361475228655</v>
      </c>
      <c r="CM85" s="17">
        <f t="shared" si="240"/>
        <v>33.055926248054156</v>
      </c>
      <c r="CN85" s="17">
        <f t="shared" si="240"/>
        <v>7.9037729441607363</v>
      </c>
      <c r="CO85" s="17">
        <f t="shared" si="240"/>
        <v>2.850966491715301</v>
      </c>
      <c r="CP85" s="17">
        <f t="shared" si="241"/>
        <v>6.0977860679470641</v>
      </c>
      <c r="CR85" s="17">
        <f t="shared" si="242"/>
        <v>4.5083830054953866</v>
      </c>
      <c r="CS85" s="17">
        <f t="shared" si="243"/>
        <v>3.8133069936102215</v>
      </c>
      <c r="CT85" s="17">
        <f t="shared" si="244"/>
        <v>6.8211695497600866</v>
      </c>
    </row>
    <row r="86" spans="1:98" x14ac:dyDescent="0.2">
      <c r="A86" t="str">
        <f t="shared" si="199"/>
        <v>23 Teaching and other educational professionals</v>
      </c>
      <c r="B86" s="17">
        <f t="shared" si="200"/>
        <v>5.2445762501027726</v>
      </c>
      <c r="C86" s="17">
        <f t="shared" si="200"/>
        <v>-2.8292531025584378</v>
      </c>
      <c r="D86" s="17">
        <f t="shared" si="200"/>
        <v>3.5383933172991711</v>
      </c>
      <c r="E86" s="17">
        <f t="shared" si="200"/>
        <v>2.3769156964582372</v>
      </c>
      <c r="F86" s="17">
        <f t="shared" si="201"/>
        <v>2.4038869298774301</v>
      </c>
      <c r="H86" s="17">
        <f t="shared" si="202"/>
        <v>2.7626199407295715</v>
      </c>
      <c r="I86" s="17">
        <f t="shared" si="203"/>
        <v>3.3346833058902625</v>
      </c>
      <c r="J86" s="17">
        <f t="shared" si="204"/>
        <v>5.2049135445812578</v>
      </c>
      <c r="L86" t="str">
        <f t="shared" si="245"/>
        <v>23 Teaching and other educational professionals</v>
      </c>
      <c r="M86" s="17">
        <f t="shared" si="205"/>
        <v>6.0831338172364857</v>
      </c>
      <c r="N86" s="17">
        <f t="shared" si="205"/>
        <v>0.98040865750319561</v>
      </c>
      <c r="O86" s="17">
        <f t="shared" si="205"/>
        <v>3.146978227233066</v>
      </c>
      <c r="P86" s="17">
        <f t="shared" si="205"/>
        <v>2.3011939135626491</v>
      </c>
      <c r="Q86" s="17">
        <f t="shared" si="206"/>
        <v>2.481486993443216</v>
      </c>
      <c r="S86" s="17">
        <f t="shared" si="207"/>
        <v>2.5823486118932815</v>
      </c>
      <c r="T86" s="17">
        <f t="shared" si="208"/>
        <v>3.3897092697244835</v>
      </c>
      <c r="U86" s="17">
        <f t="shared" si="209"/>
        <v>5.1192221245481395</v>
      </c>
      <c r="W86" t="str">
        <f t="shared" si="246"/>
        <v>23 Teaching and other educational professionals</v>
      </c>
      <c r="X86" s="17">
        <f t="shared" si="210"/>
        <v>-2.3557678555857109</v>
      </c>
      <c r="Y86" s="17">
        <f t="shared" si="210"/>
        <v>4.6779670748527513</v>
      </c>
      <c r="Z86" s="17">
        <f t="shared" si="210"/>
        <v>-2.2993515541344767</v>
      </c>
      <c r="AA86" s="17">
        <f t="shared" si="210"/>
        <v>-2.5554607012076791</v>
      </c>
      <c r="AB86" s="17">
        <f t="shared" si="211"/>
        <v>-2.0380664403191306</v>
      </c>
      <c r="AD86" s="17">
        <f t="shared" si="212"/>
        <v>-2.47016566764372</v>
      </c>
      <c r="AE86" s="17">
        <f t="shared" si="213"/>
        <v>2.5034640174171008</v>
      </c>
      <c r="AF86" s="17">
        <f t="shared" si="214"/>
        <v>0.85489316249085512</v>
      </c>
      <c r="AH86" t="str">
        <f t="shared" si="247"/>
        <v>23 Teaching and other educational professionals</v>
      </c>
      <c r="AI86" s="17">
        <f t="shared" si="215"/>
        <v>-11.58294237145039</v>
      </c>
      <c r="AJ86" s="17">
        <f t="shared" si="215"/>
        <v>-13.101482718674728</v>
      </c>
      <c r="AK86" s="17">
        <f t="shared" si="215"/>
        <v>-5.7741039492213435</v>
      </c>
      <c r="AL86" s="17">
        <f t="shared" si="215"/>
        <v>0.44728260117434804</v>
      </c>
      <c r="AM86" s="17">
        <f t="shared" si="216"/>
        <v>-2.4274052482265329</v>
      </c>
      <c r="AO86" s="17">
        <f t="shared" si="217"/>
        <v>-1.6708646542314853</v>
      </c>
      <c r="AP86" s="17">
        <f t="shared" si="218"/>
        <v>1.6059548659124401</v>
      </c>
      <c r="AQ86" s="17">
        <f t="shared" si="219"/>
        <v>0.30421278776300298</v>
      </c>
      <c r="AS86" t="str">
        <f t="shared" si="248"/>
        <v>23 Teaching and other educational professionals</v>
      </c>
      <c r="AT86" s="17">
        <f t="shared" si="220"/>
        <v>1.3523878020616609</v>
      </c>
      <c r="AU86" s="17">
        <f t="shared" si="220"/>
        <v>-9.2286369030883506</v>
      </c>
      <c r="AV86" s="17">
        <f t="shared" si="220"/>
        <v>-2.9351988306865029</v>
      </c>
      <c r="AW86" s="17">
        <f t="shared" si="220"/>
        <v>-2.3363389468732398</v>
      </c>
      <c r="AX86" s="17">
        <f t="shared" si="221"/>
        <v>-2.9687264282512005</v>
      </c>
      <c r="AZ86" s="17">
        <f t="shared" si="222"/>
        <v>-2.5363683176639173</v>
      </c>
      <c r="BA86" s="17">
        <f t="shared" si="223"/>
        <v>2.4050045105522555</v>
      </c>
      <c r="BB86" s="17">
        <f t="shared" si="224"/>
        <v>0.68906846069682892</v>
      </c>
      <c r="BD86" t="str">
        <f t="shared" si="249"/>
        <v>23 Teaching and other educational professionals</v>
      </c>
      <c r="BE86" s="17">
        <f t="shared" si="225"/>
        <v>4.0909149905995257</v>
      </c>
      <c r="BF86" s="17">
        <f t="shared" si="225"/>
        <v>-5.0472437996138648</v>
      </c>
      <c r="BG86" s="17">
        <f t="shared" si="225"/>
        <v>-2.5083521838331624E-2</v>
      </c>
      <c r="BH86" s="17">
        <f t="shared" si="225"/>
        <v>0.91007284746349448</v>
      </c>
      <c r="BI86" s="17">
        <f t="shared" si="226"/>
        <v>0.2349669236373364</v>
      </c>
      <c r="BK86" s="17">
        <f t="shared" si="227"/>
        <v>0.59738614654971656</v>
      </c>
      <c r="BL86" s="17">
        <f t="shared" si="228"/>
        <v>2.4057587422070537</v>
      </c>
      <c r="BM86" s="17">
        <f t="shared" si="229"/>
        <v>2.8393180230002368</v>
      </c>
      <c r="BO86" t="str">
        <f t="shared" si="250"/>
        <v>23 Teaching and other educational professionals</v>
      </c>
      <c r="BP86" s="17">
        <f t="shared" si="230"/>
        <v>2.0019410166505436</v>
      </c>
      <c r="BQ86" s="17">
        <f t="shared" si="230"/>
        <v>-8.8414493759532924</v>
      </c>
      <c r="BR86" s="17">
        <f t="shared" si="230"/>
        <v>-2.6958645912764201</v>
      </c>
      <c r="BS86" s="17">
        <f t="shared" si="230"/>
        <v>-2.7331322423730819</v>
      </c>
      <c r="BT86" s="17">
        <f t="shared" si="231"/>
        <v>-3.115020754386888</v>
      </c>
      <c r="BV86" s="17">
        <f t="shared" si="232"/>
        <v>-2.7207112782302589</v>
      </c>
      <c r="BW86" s="17">
        <f t="shared" si="233"/>
        <v>2.2334686687097038</v>
      </c>
      <c r="BX86" s="17">
        <f t="shared" si="234"/>
        <v>0.3511267735413881</v>
      </c>
      <c r="BZ86" t="str">
        <f t="shared" si="251"/>
        <v>23 Teaching and other educational professionals</v>
      </c>
      <c r="CA86" s="17">
        <f t="shared" si="235"/>
        <v>7.3724499079915518</v>
      </c>
      <c r="CB86" s="17">
        <f t="shared" si="235"/>
        <v>6.9475578523742865</v>
      </c>
      <c r="CC86" s="17">
        <f t="shared" si="235"/>
        <v>-1.6115179498815246</v>
      </c>
      <c r="CD86" s="17">
        <f t="shared" si="235"/>
        <v>-1.6587377117753266</v>
      </c>
      <c r="CE86" s="17">
        <f t="shared" si="236"/>
        <v>-1.1269064996102363</v>
      </c>
      <c r="CG86" s="17">
        <f t="shared" si="237"/>
        <v>-1.6430003097108181</v>
      </c>
      <c r="CH86" s="17">
        <f t="shared" si="238"/>
        <v>2.0269918396769393</v>
      </c>
      <c r="CI86" s="17">
        <f t="shared" si="239"/>
        <v>0.82520298947565962</v>
      </c>
      <c r="CK86" t="str">
        <f t="shared" si="252"/>
        <v>23 Teaching and other educational professionals</v>
      </c>
      <c r="CL86" s="17">
        <f t="shared" si="240"/>
        <v>5.7601452663789798</v>
      </c>
      <c r="CM86" s="17">
        <f t="shared" si="240"/>
        <v>41.791975929399804</v>
      </c>
      <c r="CN86" s="17">
        <f t="shared" si="240"/>
        <v>1.0083244405422187</v>
      </c>
      <c r="CO86" s="17">
        <f t="shared" si="240"/>
        <v>-2.4198023879287045</v>
      </c>
      <c r="CP86" s="17">
        <f t="shared" si="241"/>
        <v>0.96966175348742745</v>
      </c>
      <c r="CR86" s="17">
        <f t="shared" si="242"/>
        <v>-1.2902198799704778</v>
      </c>
      <c r="CS86" s="17">
        <f t="shared" si="243"/>
        <v>2.2958303029611438</v>
      </c>
      <c r="CT86" s="17">
        <f t="shared" si="244"/>
        <v>1.3821233643795727</v>
      </c>
    </row>
    <row r="87" spans="1:98" x14ac:dyDescent="0.2">
      <c r="A87" t="str">
        <f t="shared" si="199"/>
        <v>24 Business, media and public service professionals</v>
      </c>
      <c r="B87" s="17">
        <f t="shared" si="200"/>
        <v>8.5490827625000154</v>
      </c>
      <c r="C87" s="17">
        <f t="shared" si="200"/>
        <v>7.0957456767084537E-2</v>
      </c>
      <c r="D87" s="17">
        <f t="shared" si="200"/>
        <v>7.7378485453000634</v>
      </c>
      <c r="E87" s="17">
        <f t="shared" si="200"/>
        <v>4.4881762722081886</v>
      </c>
      <c r="F87" s="17">
        <f t="shared" si="201"/>
        <v>5.2086177939409062</v>
      </c>
      <c r="H87" s="17">
        <f t="shared" si="202"/>
        <v>5.5603607259909982</v>
      </c>
      <c r="I87" s="17">
        <f t="shared" si="203"/>
        <v>3.9092034245408636</v>
      </c>
      <c r="J87" s="17">
        <f t="shared" si="204"/>
        <v>7.6685033087456445</v>
      </c>
      <c r="L87" t="str">
        <f t="shared" si="245"/>
        <v>24 Business, media and public service professionals</v>
      </c>
      <c r="M87" s="17">
        <f t="shared" si="205"/>
        <v>8.436525982449794</v>
      </c>
      <c r="N87" s="17">
        <f t="shared" si="205"/>
        <v>6.4196387620671702</v>
      </c>
      <c r="O87" s="17">
        <f t="shared" si="205"/>
        <v>6.0833959058715248</v>
      </c>
      <c r="P87" s="17">
        <f t="shared" si="205"/>
        <v>3.8626979955171947</v>
      </c>
      <c r="Q87" s="17">
        <f t="shared" si="206"/>
        <v>4.7106674767211532</v>
      </c>
      <c r="S87" s="17">
        <f t="shared" si="207"/>
        <v>4.5977167584310141</v>
      </c>
      <c r="T87" s="17">
        <f t="shared" si="208"/>
        <v>3.7401328469957029</v>
      </c>
      <c r="U87" s="17">
        <f t="shared" si="209"/>
        <v>6.8384845124579874</v>
      </c>
      <c r="W87" t="str">
        <f t="shared" si="246"/>
        <v>24 Business, media and public service professionals</v>
      </c>
      <c r="X87" s="17">
        <f t="shared" si="210"/>
        <v>2.0429296076183157</v>
      </c>
      <c r="Y87" s="17">
        <f t="shared" si="210"/>
        <v>9.1151254393786463</v>
      </c>
      <c r="Z87" s="17">
        <f t="shared" si="210"/>
        <v>2.3071054805062996</v>
      </c>
      <c r="AA87" s="17">
        <f t="shared" si="210"/>
        <v>0.36076699348475127</v>
      </c>
      <c r="AB87" s="17">
        <f t="shared" si="211"/>
        <v>1.4941133223539627</v>
      </c>
      <c r="AD87" s="17">
        <f t="shared" si="212"/>
        <v>1.0053970822758718</v>
      </c>
      <c r="AE87" s="17">
        <f t="shared" si="213"/>
        <v>3.1410708866950854</v>
      </c>
      <c r="AF87" s="17">
        <f t="shared" si="214"/>
        <v>3.8098674397528232</v>
      </c>
      <c r="AH87" t="str">
        <f t="shared" si="247"/>
        <v>24 Business, media and public service professionals</v>
      </c>
      <c r="AI87" s="17">
        <f t="shared" si="215"/>
        <v>-2.5040604184765947</v>
      </c>
      <c r="AJ87" s="17">
        <f t="shared" si="215"/>
        <v>11.612050701984632</v>
      </c>
      <c r="AK87" s="17">
        <f t="shared" si="215"/>
        <v>-2.4776920587066265E-2</v>
      </c>
      <c r="AL87" s="17">
        <f t="shared" si="215"/>
        <v>0.10603165532407921</v>
      </c>
      <c r="AM87" s="17">
        <f t="shared" si="216"/>
        <v>0.74789151680172417</v>
      </c>
      <c r="AO87" s="17">
        <f t="shared" si="217"/>
        <v>6.2409790932571596E-2</v>
      </c>
      <c r="AP87" s="17">
        <f t="shared" si="218"/>
        <v>2.2123881904823062</v>
      </c>
      <c r="AQ87" s="17">
        <f t="shared" si="219"/>
        <v>2.2583855515723172</v>
      </c>
      <c r="AS87" t="str">
        <f t="shared" si="248"/>
        <v>24 Business, media and public service professionals</v>
      </c>
      <c r="AT87" s="17">
        <f t="shared" si="220"/>
        <v>1.4859524804384794</v>
      </c>
      <c r="AU87" s="17">
        <f t="shared" si="220"/>
        <v>10.854260257842864</v>
      </c>
      <c r="AV87" s="17">
        <f t="shared" si="220"/>
        <v>2.0980383122435331</v>
      </c>
      <c r="AW87" s="17">
        <f t="shared" si="220"/>
        <v>0.59438283130637259</v>
      </c>
      <c r="AX87" s="17">
        <f t="shared" si="221"/>
        <v>1.6771917020581117</v>
      </c>
      <c r="AZ87" s="17">
        <f t="shared" si="222"/>
        <v>1.0931245033468207</v>
      </c>
      <c r="BA87" s="17">
        <f t="shared" si="223"/>
        <v>3.0211571542279936</v>
      </c>
      <c r="BB87" s="17">
        <f t="shared" si="224"/>
        <v>3.7612090641581997</v>
      </c>
      <c r="BD87" t="str">
        <f t="shared" si="249"/>
        <v>24 Business, media and public service professionals</v>
      </c>
      <c r="BE87" s="17">
        <f t="shared" si="225"/>
        <v>4.6830811391584737</v>
      </c>
      <c r="BF87" s="17">
        <f t="shared" si="225"/>
        <v>6.6486091911536871</v>
      </c>
      <c r="BG87" s="17">
        <f t="shared" si="225"/>
        <v>1.3528205727421527</v>
      </c>
      <c r="BH87" s="17">
        <f t="shared" si="225"/>
        <v>0.73433934028452885</v>
      </c>
      <c r="BI87" s="17">
        <f t="shared" si="226"/>
        <v>1.2877359467882599</v>
      </c>
      <c r="BK87" s="17">
        <f t="shared" si="227"/>
        <v>0.94007926159600519</v>
      </c>
      <c r="BL87" s="17">
        <f t="shared" si="228"/>
        <v>2.4313554582552133</v>
      </c>
      <c r="BM87" s="17">
        <f t="shared" si="229"/>
        <v>3.1160104220535612</v>
      </c>
      <c r="BO87" t="str">
        <f t="shared" si="250"/>
        <v>24 Business, media and public service professionals</v>
      </c>
      <c r="BP87" s="17">
        <f t="shared" si="230"/>
        <v>1.0946924389608981</v>
      </c>
      <c r="BQ87" s="17">
        <f t="shared" si="230"/>
        <v>14.565826547980908</v>
      </c>
      <c r="BR87" s="17">
        <f t="shared" si="230"/>
        <v>-2.0565229859847101</v>
      </c>
      <c r="BS87" s="17">
        <f t="shared" si="230"/>
        <v>-2.5031398776294234</v>
      </c>
      <c r="BT87" s="17">
        <f t="shared" si="231"/>
        <v>-1.374336946912702</v>
      </c>
      <c r="BV87" s="17">
        <f t="shared" si="232"/>
        <v>-2.3544943234074189</v>
      </c>
      <c r="BW87" s="17">
        <f t="shared" si="233"/>
        <v>2.0458796561271253</v>
      </c>
      <c r="BX87" s="17">
        <f t="shared" si="234"/>
        <v>0.35422316203710391</v>
      </c>
      <c r="BZ87" t="str">
        <f t="shared" si="251"/>
        <v>24 Business, media and public service professionals</v>
      </c>
      <c r="CA87" s="17">
        <f t="shared" si="235"/>
        <v>9.3294700007891187</v>
      </c>
      <c r="CB87" s="17">
        <f t="shared" si="235"/>
        <v>3.8325519695251442</v>
      </c>
      <c r="CC87" s="17">
        <f t="shared" si="235"/>
        <v>-1.1229409289736147</v>
      </c>
      <c r="CD87" s="17">
        <f t="shared" si="235"/>
        <v>-2.1943425925257998</v>
      </c>
      <c r="CE87" s="17">
        <f t="shared" si="236"/>
        <v>-1.4933188353433269</v>
      </c>
      <c r="CG87" s="17">
        <f t="shared" si="237"/>
        <v>-1.8385048876662036</v>
      </c>
      <c r="CH87" s="17">
        <f t="shared" si="238"/>
        <v>1.801506762187155</v>
      </c>
      <c r="CI87" s="17">
        <f t="shared" si="239"/>
        <v>0.41537248518477288</v>
      </c>
      <c r="CK87" t="str">
        <f t="shared" si="252"/>
        <v>24 Business, media and public service professionals</v>
      </c>
      <c r="CL87" s="17">
        <f t="shared" si="240"/>
        <v>7.1339588255314057</v>
      </c>
      <c r="CM87" s="17">
        <f t="shared" si="240"/>
        <v>40.316914505788205</v>
      </c>
      <c r="CN87" s="17">
        <f t="shared" si="240"/>
        <v>-1.0782433202163655</v>
      </c>
      <c r="CO87" s="17">
        <f t="shared" si="240"/>
        <v>-1.5092076364361273</v>
      </c>
      <c r="CP87" s="17">
        <f t="shared" si="241"/>
        <v>0.83129385261340172</v>
      </c>
      <c r="CR87" s="17">
        <f t="shared" si="242"/>
        <v>-1.3657618856579457</v>
      </c>
      <c r="CS87" s="17">
        <f t="shared" si="243"/>
        <v>1.9111539651505138</v>
      </c>
      <c r="CT87" s="17">
        <f t="shared" si="244"/>
        <v>0.88913086790449736</v>
      </c>
    </row>
    <row r="88" spans="1:98" x14ac:dyDescent="0.2">
      <c r="A88" t="str">
        <f t="shared" si="199"/>
        <v>31 Science, engineering and technology associate professionals</v>
      </c>
      <c r="B88" s="17">
        <f t="shared" si="200"/>
        <v>10.798628895841823</v>
      </c>
      <c r="C88" s="17">
        <f t="shared" si="200"/>
        <v>14.358154204745643</v>
      </c>
      <c r="D88" s="17">
        <f t="shared" si="200"/>
        <v>3.4856826974771105</v>
      </c>
      <c r="E88" s="17">
        <f t="shared" si="200"/>
        <v>4.8925582052760097</v>
      </c>
      <c r="F88" s="17">
        <f t="shared" si="201"/>
        <v>5.016418650483212</v>
      </c>
      <c r="H88" s="17">
        <f t="shared" si="202"/>
        <v>4.4214872972848207</v>
      </c>
      <c r="I88" s="17">
        <f t="shared" si="203"/>
        <v>3.3450549604417956</v>
      </c>
      <c r="J88" s="17">
        <f t="shared" si="204"/>
        <v>6.4442093197343508</v>
      </c>
      <c r="L88" t="str">
        <f t="shared" si="245"/>
        <v>31 Science, engineering and technology associate professionals</v>
      </c>
      <c r="M88" s="17">
        <f t="shared" si="205"/>
        <v>8.8276860248647679</v>
      </c>
      <c r="N88" s="17">
        <f t="shared" si="205"/>
        <v>7.2149839509160651</v>
      </c>
      <c r="O88" s="17">
        <f t="shared" si="205"/>
        <v>2.7896322351121494</v>
      </c>
      <c r="P88" s="17">
        <f t="shared" si="205"/>
        <v>4.1302011663663096</v>
      </c>
      <c r="Q88" s="17">
        <f t="shared" si="206"/>
        <v>3.8988091827742544</v>
      </c>
      <c r="S88" s="17">
        <f t="shared" si="207"/>
        <v>3.6814134173221991</v>
      </c>
      <c r="T88" s="17">
        <f t="shared" si="208"/>
        <v>3.0565244646096446</v>
      </c>
      <c r="U88" s="17">
        <f t="shared" si="209"/>
        <v>5.6814902269485712</v>
      </c>
      <c r="W88" t="str">
        <f t="shared" si="246"/>
        <v>31 Science, engineering and technology associate professionals</v>
      </c>
      <c r="X88" s="17">
        <f t="shared" si="210"/>
        <v>3.5417562890155185</v>
      </c>
      <c r="Y88" s="17">
        <f t="shared" si="210"/>
        <v>8.8497383994401204</v>
      </c>
      <c r="Z88" s="17">
        <f t="shared" si="210"/>
        <v>-1.1812981840881198</v>
      </c>
      <c r="AA88" s="17">
        <f t="shared" si="210"/>
        <v>0.75260602389763953</v>
      </c>
      <c r="AB88" s="17">
        <f t="shared" si="211"/>
        <v>0.62922421464268741</v>
      </c>
      <c r="AD88" s="17">
        <f t="shared" si="212"/>
        <v>0.10380223660582111</v>
      </c>
      <c r="AE88" s="17">
        <f t="shared" si="213"/>
        <v>2.5031224406010022</v>
      </c>
      <c r="AF88" s="17">
        <f t="shared" si="214"/>
        <v>2.5767197079044735</v>
      </c>
      <c r="AH88" t="str">
        <f t="shared" si="247"/>
        <v>31 Science, engineering and technology associate professionals</v>
      </c>
      <c r="AI88" s="17">
        <f t="shared" si="215"/>
        <v>5.1158884541600225</v>
      </c>
      <c r="AJ88" s="17">
        <f t="shared" si="215"/>
        <v>2.5474295770447464</v>
      </c>
      <c r="AK88" s="17">
        <f t="shared" si="215"/>
        <v>0.9326011725087735</v>
      </c>
      <c r="AL88" s="17">
        <f t="shared" si="215"/>
        <v>2.452851184716387</v>
      </c>
      <c r="AM88" s="17">
        <f t="shared" si="216"/>
        <v>1.9812104270259701</v>
      </c>
      <c r="AO88" s="17">
        <f t="shared" si="217"/>
        <v>1.9435738359900201</v>
      </c>
      <c r="AP88" s="17">
        <f t="shared" si="218"/>
        <v>2.9495798483450963</v>
      </c>
      <c r="AQ88" s="17">
        <f t="shared" si="219"/>
        <v>4.3031350229847165</v>
      </c>
      <c r="AS88" t="str">
        <f t="shared" si="248"/>
        <v>31 Science, engineering and technology associate professionals</v>
      </c>
      <c r="AT88" s="17">
        <f t="shared" si="220"/>
        <v>2.010756211889797</v>
      </c>
      <c r="AU88" s="17">
        <f t="shared" si="220"/>
        <v>1.7093868831496106</v>
      </c>
      <c r="AV88" s="17">
        <f t="shared" si="220"/>
        <v>-3.0612216990268504</v>
      </c>
      <c r="AW88" s="17">
        <f t="shared" si="220"/>
        <v>-0.36439564713638406</v>
      </c>
      <c r="AX88" s="17">
        <f t="shared" si="221"/>
        <v>-1.0878490155643905</v>
      </c>
      <c r="AZ88" s="17">
        <f t="shared" si="222"/>
        <v>-1.2715723908827803</v>
      </c>
      <c r="BA88" s="17">
        <f t="shared" si="223"/>
        <v>1.9987194078269432</v>
      </c>
      <c r="BB88" s="17">
        <f t="shared" si="224"/>
        <v>1.0576893344645955</v>
      </c>
      <c r="BD88" t="str">
        <f t="shared" si="249"/>
        <v>31 Science, engineering and technology associate professionals</v>
      </c>
      <c r="BE88" s="17">
        <f t="shared" si="225"/>
        <v>2.2928259022198638</v>
      </c>
      <c r="BF88" s="17">
        <f t="shared" si="225"/>
        <v>10.876002012045483</v>
      </c>
      <c r="BG88" s="17">
        <f t="shared" si="225"/>
        <v>-5.7211168407977242</v>
      </c>
      <c r="BH88" s="17">
        <f t="shared" si="225"/>
        <v>-2.2176126603632218</v>
      </c>
      <c r="BI88" s="17">
        <f t="shared" si="226"/>
        <v>-2.5639310326299292</v>
      </c>
      <c r="BK88" s="17">
        <f t="shared" si="227"/>
        <v>-3.3996795165571525</v>
      </c>
      <c r="BL88" s="17">
        <f t="shared" si="228"/>
        <v>1.4503366840737053</v>
      </c>
      <c r="BM88" s="17">
        <f t="shared" si="229"/>
        <v>-1.1846426764375084</v>
      </c>
      <c r="BO88" t="str">
        <f t="shared" si="250"/>
        <v>31 Science, engineering and technology associate professionals</v>
      </c>
      <c r="BP88" s="17">
        <f t="shared" si="230"/>
        <v>2.2737331890322565</v>
      </c>
      <c r="BQ88" s="17">
        <f t="shared" si="230"/>
        <v>15.152251055368705</v>
      </c>
      <c r="BR88" s="17">
        <f t="shared" si="230"/>
        <v>-5.5986455678239899</v>
      </c>
      <c r="BS88" s="17">
        <f t="shared" si="230"/>
        <v>-1.2884141909593749</v>
      </c>
      <c r="BT88" s="17">
        <f t="shared" si="231"/>
        <v>-1.7143072542264437</v>
      </c>
      <c r="BV88" s="17">
        <f t="shared" si="232"/>
        <v>-2.7465922802229148</v>
      </c>
      <c r="BW88" s="17">
        <f t="shared" si="233"/>
        <v>1.7311512168052712</v>
      </c>
      <c r="BX88" s="17">
        <f t="shared" si="234"/>
        <v>-0.32632884231721393</v>
      </c>
      <c r="BZ88" t="str">
        <f t="shared" si="251"/>
        <v>31 Science, engineering and technology associate professionals</v>
      </c>
      <c r="CA88" s="17">
        <f t="shared" si="235"/>
        <v>9.7184033159476222</v>
      </c>
      <c r="CB88" s="17">
        <f t="shared" si="235"/>
        <v>8.7715748110207556</v>
      </c>
      <c r="CC88" s="17">
        <f t="shared" si="235"/>
        <v>-4.2166429464802864</v>
      </c>
      <c r="CD88" s="17">
        <f t="shared" si="235"/>
        <v>-0.99781016105110476</v>
      </c>
      <c r="CE88" s="17">
        <f t="shared" si="236"/>
        <v>-1.4371265817766266</v>
      </c>
      <c r="CG88" s="17">
        <f t="shared" si="237"/>
        <v>-2.0825972417108041</v>
      </c>
      <c r="CH88" s="17">
        <f t="shared" si="238"/>
        <v>1.5553781862918337</v>
      </c>
      <c r="CI88" s="17">
        <f t="shared" si="239"/>
        <v>-6.8394647946623532E-2</v>
      </c>
      <c r="CK88" t="str">
        <f t="shared" si="252"/>
        <v>31 Science, engineering and technology associate professionals</v>
      </c>
      <c r="CL88" s="17">
        <f t="shared" si="240"/>
        <v>8.2504205554830179</v>
      </c>
      <c r="CM88" s="17">
        <f t="shared" si="240"/>
        <v>41.849527431905621</v>
      </c>
      <c r="CN88" s="17">
        <f t="shared" si="240"/>
        <v>-0.3473701507217708</v>
      </c>
      <c r="CO88" s="17">
        <f t="shared" si="240"/>
        <v>1.7963948371479077</v>
      </c>
      <c r="CP88" s="17">
        <f t="shared" si="241"/>
        <v>3.2404123878113866</v>
      </c>
      <c r="CR88" s="17">
        <f t="shared" si="242"/>
        <v>1.0767307295462825</v>
      </c>
      <c r="CS88" s="17">
        <f t="shared" si="243"/>
        <v>2.3095021939299354</v>
      </c>
      <c r="CT88" s="17">
        <f t="shared" si="244"/>
        <v>3.108266946508853</v>
      </c>
    </row>
    <row r="89" spans="1:98" x14ac:dyDescent="0.2">
      <c r="A89" t="str">
        <f t="shared" si="199"/>
        <v>32 Health and social care associate professionals</v>
      </c>
      <c r="B89" s="17">
        <f t="shared" si="200"/>
        <v>7.0310696276663753</v>
      </c>
      <c r="C89" s="17">
        <f t="shared" si="200"/>
        <v>-14.951183969341564</v>
      </c>
      <c r="D89" s="17">
        <f t="shared" si="200"/>
        <v>7.3291429130848851</v>
      </c>
      <c r="E89" s="17">
        <f t="shared" si="200"/>
        <v>5.8182481433643796</v>
      </c>
      <c r="F89" s="17">
        <f t="shared" si="201"/>
        <v>4.846488748588107</v>
      </c>
      <c r="H89" s="17">
        <f t="shared" si="202"/>
        <v>6.3195015826174039</v>
      </c>
      <c r="I89" s="17">
        <f t="shared" si="203"/>
        <v>4.778997006224972</v>
      </c>
      <c r="J89" s="17">
        <f t="shared" si="204"/>
        <v>8.754777950702163</v>
      </c>
      <c r="L89" t="str">
        <f t="shared" si="245"/>
        <v>32 Health and social care associate professionals</v>
      </c>
      <c r="M89" s="17">
        <f t="shared" si="205"/>
        <v>6.803744073087592</v>
      </c>
      <c r="N89" s="17">
        <f t="shared" si="205"/>
        <v>0.88361730267938476</v>
      </c>
      <c r="O89" s="17">
        <f t="shared" si="205"/>
        <v>5.5499363801532864</v>
      </c>
      <c r="P89" s="17">
        <f t="shared" si="205"/>
        <v>5.3814060179950829</v>
      </c>
      <c r="Q89" s="17">
        <f t="shared" si="206"/>
        <v>5.1470035462544583</v>
      </c>
      <c r="S89" s="17">
        <f t="shared" si="207"/>
        <v>5.4375528852017574</v>
      </c>
      <c r="T89" s="17">
        <f t="shared" si="208"/>
        <v>4.4121854760264867</v>
      </c>
      <c r="U89" s="17">
        <f t="shared" si="209"/>
        <v>7.8893522730407062</v>
      </c>
      <c r="W89" t="str">
        <f t="shared" si="246"/>
        <v>32 Health and social care associate professionals</v>
      </c>
      <c r="X89" s="17">
        <f t="shared" si="210"/>
        <v>0.78476373187637005</v>
      </c>
      <c r="Y89" s="17">
        <f t="shared" si="210"/>
        <v>5.8169263236596214</v>
      </c>
      <c r="Z89" s="17">
        <f t="shared" si="210"/>
        <v>2.9405933533196649</v>
      </c>
      <c r="AA89" s="17">
        <f t="shared" si="210"/>
        <v>2.0759623758976886</v>
      </c>
      <c r="AB89" s="17">
        <f t="shared" si="211"/>
        <v>2.5758694664729909</v>
      </c>
      <c r="AD89" s="17">
        <f t="shared" si="212"/>
        <v>2.3633627510142086</v>
      </c>
      <c r="AE89" s="17">
        <f t="shared" si="213"/>
        <v>3.9836874496358421</v>
      </c>
      <c r="AF89" s="17">
        <f t="shared" si="214"/>
        <v>5.4489207190539179</v>
      </c>
      <c r="AH89" t="str">
        <f t="shared" si="247"/>
        <v>32 Health and social care associate professionals</v>
      </c>
      <c r="AI89" s="17">
        <f t="shared" si="215"/>
        <v>-6.1559633082303939</v>
      </c>
      <c r="AJ89" s="17">
        <f t="shared" si="215"/>
        <v>9.9450886618246415E-2</v>
      </c>
      <c r="AK89" s="17">
        <f t="shared" si="215"/>
        <v>-4.6095506851631445</v>
      </c>
      <c r="AL89" s="17">
        <f t="shared" si="215"/>
        <v>-4.3767927792581096</v>
      </c>
      <c r="AM89" s="17">
        <f t="shared" si="216"/>
        <v>-4.1759931783826199</v>
      </c>
      <c r="AO89" s="17">
        <f t="shared" si="217"/>
        <v>-4.4544417842222295</v>
      </c>
      <c r="AP89" s="17">
        <f t="shared" si="218"/>
        <v>1.8814037000246309</v>
      </c>
      <c r="AQ89" s="17">
        <f t="shared" si="219"/>
        <v>-1.2549309024831867</v>
      </c>
      <c r="AS89" t="str">
        <f t="shared" si="248"/>
        <v>32 Health and social care associate professionals</v>
      </c>
      <c r="AT89" s="17">
        <f t="shared" si="220"/>
        <v>0.64720108994642533</v>
      </c>
      <c r="AU89" s="17">
        <f t="shared" si="220"/>
        <v>13.611736531166251</v>
      </c>
      <c r="AV89" s="17">
        <f t="shared" si="220"/>
        <v>0.65462840170684711</v>
      </c>
      <c r="AW89" s="17">
        <f t="shared" si="220"/>
        <v>1.286684382441905</v>
      </c>
      <c r="AX89" s="17">
        <f t="shared" si="221"/>
        <v>1.8168644578385074</v>
      </c>
      <c r="AZ89" s="17">
        <f t="shared" si="222"/>
        <v>1.0755592856193097</v>
      </c>
      <c r="BA89" s="17">
        <f t="shared" si="223"/>
        <v>3.3611805904538716</v>
      </c>
      <c r="BB89" s="17">
        <f t="shared" si="224"/>
        <v>4.0578277037612853</v>
      </c>
      <c r="BD89" t="str">
        <f t="shared" si="249"/>
        <v>32 Health and social care associate professionals</v>
      </c>
      <c r="BE89" s="17">
        <f t="shared" si="225"/>
        <v>6.875869330847606</v>
      </c>
      <c r="BF89" s="17">
        <f t="shared" si="225"/>
        <v>-0.24532599551535528</v>
      </c>
      <c r="BG89" s="17">
        <f t="shared" si="225"/>
        <v>1.2303159727479418</v>
      </c>
      <c r="BH89" s="17">
        <f t="shared" si="225"/>
        <v>1.6672386951006812</v>
      </c>
      <c r="BI89" s="17">
        <f t="shared" si="226"/>
        <v>1.4100579996177753</v>
      </c>
      <c r="BK89" s="17">
        <f t="shared" si="227"/>
        <v>1.5213886537875254</v>
      </c>
      <c r="BL89" s="17">
        <f t="shared" si="228"/>
        <v>3.1870660700177078</v>
      </c>
      <c r="BM89" s="17">
        <f t="shared" si="229"/>
        <v>4.2057884798198497</v>
      </c>
      <c r="BO89" t="str">
        <f t="shared" si="250"/>
        <v>32 Health and social care associate professionals</v>
      </c>
      <c r="BP89" s="17">
        <f t="shared" si="230"/>
        <v>3.0574711899065576</v>
      </c>
      <c r="BQ89" s="17">
        <f t="shared" si="230"/>
        <v>-8.814144371836008</v>
      </c>
      <c r="BR89" s="17">
        <f t="shared" si="230"/>
        <v>-2.2036645559223911</v>
      </c>
      <c r="BS89" s="17">
        <f t="shared" si="230"/>
        <v>-2.6438211281754165</v>
      </c>
      <c r="BT89" s="17">
        <f t="shared" si="231"/>
        <v>-2.9046405064832914</v>
      </c>
      <c r="BV89" s="17">
        <f t="shared" si="232"/>
        <v>-2.4973228270435133</v>
      </c>
      <c r="BW89" s="17">
        <f t="shared" si="233"/>
        <v>2.4814921534439316</v>
      </c>
      <c r="BX89" s="17">
        <f t="shared" si="234"/>
        <v>0.81027442683279105</v>
      </c>
      <c r="BZ89" t="str">
        <f t="shared" si="251"/>
        <v>32 Health and social care associate professionals</v>
      </c>
      <c r="CA89" s="17">
        <f t="shared" si="235"/>
        <v>2.7573974008000546</v>
      </c>
      <c r="CB89" s="17">
        <f t="shared" si="235"/>
        <v>-5.7660469905025158</v>
      </c>
      <c r="CC89" s="17">
        <f t="shared" si="235"/>
        <v>-3.126935668778652</v>
      </c>
      <c r="CD89" s="17">
        <f t="shared" si="235"/>
        <v>-2.8433432113715407</v>
      </c>
      <c r="CE89" s="17">
        <f t="shared" si="236"/>
        <v>-3.1171817320220008</v>
      </c>
      <c r="CG89" s="17">
        <f t="shared" si="237"/>
        <v>-2.9379661558979087</v>
      </c>
      <c r="CH89" s="17">
        <f t="shared" si="238"/>
        <v>1.8070860980412107</v>
      </c>
      <c r="CI89" s="17">
        <f t="shared" si="239"/>
        <v>-0.3585893567531917</v>
      </c>
      <c r="CK89" t="str">
        <f t="shared" si="252"/>
        <v>32 Health and social care associate professionals</v>
      </c>
      <c r="CL89" s="17">
        <f t="shared" si="240"/>
        <v>-5.8551328690681359E-2</v>
      </c>
      <c r="CM89" s="17">
        <f t="shared" si="240"/>
        <v>43.090953519648998</v>
      </c>
      <c r="CN89" s="17">
        <f t="shared" si="240"/>
        <v>1.278538065467183</v>
      </c>
      <c r="CO89" s="17">
        <f t="shared" si="240"/>
        <v>2.2206471153950469</v>
      </c>
      <c r="CP89" s="17">
        <f t="shared" si="241"/>
        <v>4.0906204571179217</v>
      </c>
      <c r="CR89" s="17">
        <f t="shared" si="242"/>
        <v>1.9056410307583649</v>
      </c>
      <c r="CS89" s="17">
        <f t="shared" si="243"/>
        <v>2.8015847548406692</v>
      </c>
      <c r="CT89" s="17">
        <f t="shared" si="244"/>
        <v>4.1521213007510882</v>
      </c>
    </row>
    <row r="90" spans="1:98" x14ac:dyDescent="0.2">
      <c r="A90" t="str">
        <f t="shared" si="199"/>
        <v>33 Protective service occupations</v>
      </c>
      <c r="B90" s="17">
        <f t="shared" si="200"/>
        <v>3.8665045773786932</v>
      </c>
      <c r="C90" s="17">
        <f t="shared" si="200"/>
        <v>6.2419859343982642</v>
      </c>
      <c r="D90" s="17">
        <f t="shared" si="200"/>
        <v>12.431858330217915</v>
      </c>
      <c r="E90" s="17">
        <f t="shared" si="200"/>
        <v>5.8183318436738185</v>
      </c>
      <c r="F90" s="17">
        <f t="shared" si="201"/>
        <v>7.8690899103919243</v>
      </c>
      <c r="H90" s="17">
        <f t="shared" si="202"/>
        <v>7.9784453348551443</v>
      </c>
      <c r="I90" s="17">
        <f t="shared" si="203"/>
        <v>3.5235123242508992</v>
      </c>
      <c r="J90" s="17">
        <f t="shared" si="204"/>
        <v>9.3915297094788954</v>
      </c>
      <c r="L90" t="str">
        <f t="shared" si="245"/>
        <v>33 Protective service occupations</v>
      </c>
      <c r="M90" s="17">
        <f t="shared" si="205"/>
        <v>5.6636000223965421</v>
      </c>
      <c r="N90" s="17">
        <f t="shared" si="205"/>
        <v>4.799151620220421</v>
      </c>
      <c r="O90" s="17">
        <f t="shared" si="205"/>
        <v>10.90566648666691</v>
      </c>
      <c r="P90" s="17">
        <f t="shared" si="205"/>
        <v>6.0271403530400613</v>
      </c>
      <c r="Q90" s="17">
        <f t="shared" si="206"/>
        <v>7.4499105064664395</v>
      </c>
      <c r="S90" s="17">
        <f t="shared" si="207"/>
        <v>7.6289931438140224</v>
      </c>
      <c r="T90" s="17">
        <f t="shared" si="208"/>
        <v>3.2843996908985096</v>
      </c>
      <c r="U90" s="17">
        <f t="shared" si="209"/>
        <v>8.9877375653138802</v>
      </c>
      <c r="W90" t="str">
        <f t="shared" si="246"/>
        <v>33 Protective service occupations</v>
      </c>
      <c r="X90" s="17">
        <f t="shared" si="210"/>
        <v>2.0303044370383772</v>
      </c>
      <c r="Y90" s="17">
        <f t="shared" si="210"/>
        <v>11.650600412586476</v>
      </c>
      <c r="Z90" s="17">
        <f t="shared" si="210"/>
        <v>6.9564187975581282</v>
      </c>
      <c r="AA90" s="17">
        <f t="shared" si="210"/>
        <v>3.0883612990070919</v>
      </c>
      <c r="AB90" s="17">
        <f t="shared" si="211"/>
        <v>4.8031848543584887</v>
      </c>
      <c r="AD90" s="17">
        <f t="shared" si="212"/>
        <v>4.3619155118319375</v>
      </c>
      <c r="AE90" s="17">
        <f t="shared" si="213"/>
        <v>3.3969810015863411</v>
      </c>
      <c r="AF90" s="17">
        <f t="shared" si="214"/>
        <v>6.4332988539470115</v>
      </c>
      <c r="AH90" t="str">
        <f t="shared" si="247"/>
        <v>33 Protective service occupations</v>
      </c>
      <c r="AI90" s="17">
        <f t="shared" si="215"/>
        <v>1.2701965546865424</v>
      </c>
      <c r="AJ90" s="17">
        <f t="shared" si="215"/>
        <v>12.501397305262984</v>
      </c>
      <c r="AK90" s="17">
        <f t="shared" si="215"/>
        <v>6.816381344295408</v>
      </c>
      <c r="AL90" s="17">
        <f t="shared" si="215"/>
        <v>3.0707433236646375</v>
      </c>
      <c r="AM90" s="17">
        <f t="shared" si="216"/>
        <v>4.7988052286215499</v>
      </c>
      <c r="AO90" s="17">
        <f t="shared" si="217"/>
        <v>4.3044632256338033</v>
      </c>
      <c r="AP90" s="17">
        <f t="shared" si="218"/>
        <v>3.0772456738081599</v>
      </c>
      <c r="AQ90" s="17">
        <f t="shared" si="219"/>
        <v>6.1768952078655515</v>
      </c>
      <c r="AS90" t="str">
        <f t="shared" si="248"/>
        <v>33 Protective service occupations</v>
      </c>
      <c r="AT90" s="17">
        <f t="shared" si="220"/>
        <v>-2.0257936065732784</v>
      </c>
      <c r="AU90" s="17">
        <f t="shared" si="220"/>
        <v>10.808670991248871</v>
      </c>
      <c r="AV90" s="17">
        <f t="shared" si="220"/>
        <v>3.2643495145263213</v>
      </c>
      <c r="AW90" s="17">
        <f t="shared" si="220"/>
        <v>0.90291790143210982</v>
      </c>
      <c r="AX90" s="17">
        <f t="shared" si="221"/>
        <v>2.2316079661437227</v>
      </c>
      <c r="AZ90" s="17">
        <f t="shared" si="222"/>
        <v>1.6839998737770978</v>
      </c>
      <c r="BA90" s="17">
        <f t="shared" si="223"/>
        <v>2.470640034408822</v>
      </c>
      <c r="BB90" s="17">
        <f t="shared" si="224"/>
        <v>3.7087304636934881</v>
      </c>
      <c r="BD90" t="str">
        <f t="shared" si="249"/>
        <v>33 Protective service occupations</v>
      </c>
      <c r="BE90" s="17">
        <f t="shared" si="225"/>
        <v>-0.95326853258080879</v>
      </c>
      <c r="BF90" s="17">
        <f t="shared" si="225"/>
        <v>3.9930426804195562</v>
      </c>
      <c r="BG90" s="17">
        <f t="shared" si="225"/>
        <v>2.8167202614899356</v>
      </c>
      <c r="BH90" s="17">
        <f t="shared" si="225"/>
        <v>-2.4743654169356866E-2</v>
      </c>
      <c r="BI90" s="17">
        <f t="shared" si="226"/>
        <v>1.1033433863634645</v>
      </c>
      <c r="BK90" s="17">
        <f t="shared" si="227"/>
        <v>0.91357680091037619</v>
      </c>
      <c r="BL90" s="17">
        <f t="shared" si="228"/>
        <v>1.6028195837905157</v>
      </c>
      <c r="BM90" s="17">
        <f t="shared" si="229"/>
        <v>2.3436955716433783</v>
      </c>
      <c r="BO90" t="str">
        <f t="shared" si="250"/>
        <v>33 Protective service occupations</v>
      </c>
      <c r="BP90" s="17">
        <f t="shared" si="230"/>
        <v>-1.3045450641157141</v>
      </c>
      <c r="BQ90" s="17">
        <f t="shared" si="230"/>
        <v>8.9720360349208939</v>
      </c>
      <c r="BR90" s="17">
        <f t="shared" si="230"/>
        <v>0.38151430230228822</v>
      </c>
      <c r="BS90" s="17">
        <f t="shared" si="230"/>
        <v>-3.0430269085206185</v>
      </c>
      <c r="BT90" s="17">
        <f t="shared" si="231"/>
        <v>-1.267327716477662</v>
      </c>
      <c r="BV90" s="17">
        <f t="shared" si="232"/>
        <v>-1.9146950139652952</v>
      </c>
      <c r="BW90" s="17">
        <f t="shared" si="233"/>
        <v>1.6904044236051963</v>
      </c>
      <c r="BX90" s="17">
        <f t="shared" si="234"/>
        <v>0.2241102348460533</v>
      </c>
      <c r="BZ90" t="str">
        <f t="shared" si="251"/>
        <v>33 Protective service occupations</v>
      </c>
      <c r="CA90" s="17">
        <f t="shared" si="235"/>
        <v>5.9864509293630075</v>
      </c>
      <c r="CB90" s="17">
        <f t="shared" si="235"/>
        <v>0.83215097936715221</v>
      </c>
      <c r="CC90" s="17">
        <f t="shared" si="235"/>
        <v>2.7853711348536203</v>
      </c>
      <c r="CD90" s="17">
        <f t="shared" si="235"/>
        <v>0.42113660511193807</v>
      </c>
      <c r="CE90" s="17">
        <f t="shared" si="236"/>
        <v>1.1798849422397284</v>
      </c>
      <c r="CG90" s="17">
        <f t="shared" si="237"/>
        <v>1.2031097993324913</v>
      </c>
      <c r="CH90" s="17">
        <f t="shared" si="238"/>
        <v>2.0355242635673898</v>
      </c>
      <c r="CI90" s="17">
        <f t="shared" si="239"/>
        <v>2.962156498259616</v>
      </c>
      <c r="CK90" t="str">
        <f t="shared" si="252"/>
        <v>33 Protective service occupations</v>
      </c>
      <c r="CL90" s="17">
        <f t="shared" si="240"/>
        <v>-2.588701991621567</v>
      </c>
      <c r="CM90" s="17">
        <f t="shared" si="240"/>
        <v>45.52681434522836</v>
      </c>
      <c r="CN90" s="17">
        <f t="shared" si="240"/>
        <v>-5.3668578485632441</v>
      </c>
      <c r="CO90" s="17">
        <f t="shared" si="240"/>
        <v>0.64784389106260498</v>
      </c>
      <c r="CP90" s="17">
        <f t="shared" si="241"/>
        <v>1.0299772339771973</v>
      </c>
      <c r="CR90" s="17">
        <f t="shared" si="242"/>
        <v>-1.3983753950871036</v>
      </c>
      <c r="CS90" s="17">
        <f t="shared" si="243"/>
        <v>1.0893699923032463</v>
      </c>
      <c r="CT90" s="17">
        <f t="shared" si="244"/>
        <v>-9.3567399835781107E-2</v>
      </c>
    </row>
    <row r="91" spans="1:98" x14ac:dyDescent="0.2">
      <c r="A91" t="str">
        <f t="shared" si="199"/>
        <v>34 Culture, media and sports occupations</v>
      </c>
      <c r="B91" s="17">
        <f t="shared" si="200"/>
        <v>13.503795581120116</v>
      </c>
      <c r="C91" s="17">
        <f t="shared" si="200"/>
        <v>-4.9186874760337007</v>
      </c>
      <c r="D91" s="17">
        <f t="shared" si="200"/>
        <v>4.4420244565808176</v>
      </c>
      <c r="E91" s="17">
        <f t="shared" si="200"/>
        <v>4.3167667017432132</v>
      </c>
      <c r="F91" s="17">
        <f t="shared" si="201"/>
        <v>3.7530319787618005</v>
      </c>
      <c r="H91" s="17">
        <f t="shared" si="202"/>
        <v>4.3585025864363081</v>
      </c>
      <c r="I91" s="17">
        <f t="shared" si="203"/>
        <v>3.8571821892155134</v>
      </c>
      <c r="J91" s="17">
        <f t="shared" si="204"/>
        <v>6.7410312593167987</v>
      </c>
      <c r="L91" t="str">
        <f t="shared" si="245"/>
        <v>34 Culture, media and sports occupations</v>
      </c>
      <c r="M91" s="17">
        <f t="shared" si="205"/>
        <v>8.1465825222251542</v>
      </c>
      <c r="N91" s="17">
        <f t="shared" si="205"/>
        <v>3.1754932897797961</v>
      </c>
      <c r="O91" s="17">
        <f t="shared" si="205"/>
        <v>4.9986387073793104</v>
      </c>
      <c r="P91" s="17">
        <f t="shared" si="205"/>
        <v>4.2663480398025921</v>
      </c>
      <c r="Q91" s="17">
        <f t="shared" si="206"/>
        <v>4.4259734977496024</v>
      </c>
      <c r="S91" s="17">
        <f t="shared" si="207"/>
        <v>4.5098756955622266</v>
      </c>
      <c r="T91" s="17">
        <f t="shared" si="208"/>
        <v>3.8317635164522912</v>
      </c>
      <c r="U91" s="17">
        <f t="shared" si="209"/>
        <v>6.8346452899956445</v>
      </c>
      <c r="W91" t="str">
        <f t="shared" si="246"/>
        <v>34 Culture, media and sports occupations</v>
      </c>
      <c r="X91" s="17">
        <f t="shared" si="210"/>
        <v>0.45650154556604594</v>
      </c>
      <c r="Y91" s="17">
        <f t="shared" si="210"/>
        <v>0.98153734001251713</v>
      </c>
      <c r="Z91" s="17">
        <f t="shared" si="210"/>
        <v>1.2471383891917043</v>
      </c>
      <c r="AA91" s="17">
        <f t="shared" si="210"/>
        <v>0.79257854495753399</v>
      </c>
      <c r="AB91" s="17">
        <f t="shared" si="211"/>
        <v>0.94622500120469244</v>
      </c>
      <c r="AD91" s="17">
        <f t="shared" si="212"/>
        <v>0.94387128438646606</v>
      </c>
      <c r="AE91" s="17">
        <f t="shared" si="213"/>
        <v>2.9946438310247903</v>
      </c>
      <c r="AF91" s="17">
        <f t="shared" si="214"/>
        <v>3.6335964384320407</v>
      </c>
      <c r="AH91" t="str">
        <f t="shared" si="247"/>
        <v>34 Culture, media and sports occupations</v>
      </c>
      <c r="AI91" s="17">
        <f t="shared" si="215"/>
        <v>-1.6972694108750241</v>
      </c>
      <c r="AJ91" s="17">
        <f t="shared" si="215"/>
        <v>23.241930371295517</v>
      </c>
      <c r="AK91" s="17">
        <f t="shared" si="215"/>
        <v>1.1956570683684387</v>
      </c>
      <c r="AL91" s="17">
        <f t="shared" si="215"/>
        <v>2.1358950370711449</v>
      </c>
      <c r="AM91" s="17">
        <f t="shared" si="216"/>
        <v>3.0438296542459442</v>
      </c>
      <c r="AO91" s="17">
        <f t="shared" si="217"/>
        <v>1.8215156985282643</v>
      </c>
      <c r="AP91" s="17">
        <f t="shared" si="218"/>
        <v>3.0958656516421712</v>
      </c>
      <c r="AQ91" s="17">
        <f t="shared" si="219"/>
        <v>4.3382467945480174</v>
      </c>
      <c r="AS91" t="str">
        <f t="shared" si="248"/>
        <v>34 Culture, media and sports occupations</v>
      </c>
      <c r="AT91" s="17">
        <f t="shared" si="220"/>
        <v>-0.99700858583540164</v>
      </c>
      <c r="AU91" s="17">
        <f t="shared" si="220"/>
        <v>0.90669939340504158</v>
      </c>
      <c r="AV91" s="17">
        <f t="shared" si="220"/>
        <v>1.152324321738174E-2</v>
      </c>
      <c r="AW91" s="17">
        <f t="shared" si="220"/>
        <v>0.24255571682474386</v>
      </c>
      <c r="AX91" s="17">
        <f t="shared" si="221"/>
        <v>0.21165158534821593</v>
      </c>
      <c r="AZ91" s="17">
        <f t="shared" si="222"/>
        <v>0.165485653252051</v>
      </c>
      <c r="BA91" s="17">
        <f t="shared" si="223"/>
        <v>2.7232102204241881</v>
      </c>
      <c r="BB91" s="17">
        <f t="shared" si="224"/>
        <v>2.8372509158508086</v>
      </c>
      <c r="BD91" t="str">
        <f t="shared" si="249"/>
        <v>34 Culture, media and sports occupations</v>
      </c>
      <c r="BE91" s="17">
        <f t="shared" si="225"/>
        <v>1.153650590479316</v>
      </c>
      <c r="BF91" s="17">
        <f t="shared" si="225"/>
        <v>-6.6992407013714121</v>
      </c>
      <c r="BG91" s="17">
        <f t="shared" si="225"/>
        <v>-0.58424905106542191</v>
      </c>
      <c r="BH91" s="17">
        <f t="shared" si="225"/>
        <v>0.87526513553395358</v>
      </c>
      <c r="BI91" s="17">
        <f t="shared" si="226"/>
        <v>-7.1814035757911121E-2</v>
      </c>
      <c r="BK91" s="17">
        <f t="shared" si="227"/>
        <v>0.38639503095996286</v>
      </c>
      <c r="BL91" s="17">
        <f t="shared" si="228"/>
        <v>2.2242107551663004</v>
      </c>
      <c r="BM91" s="17">
        <f t="shared" si="229"/>
        <v>2.5103217986201409</v>
      </c>
      <c r="BO91" t="str">
        <f t="shared" si="250"/>
        <v>34 Culture, media and sports occupations</v>
      </c>
      <c r="BP91" s="17">
        <f t="shared" si="230"/>
        <v>-1.7419422903583448</v>
      </c>
      <c r="BQ91" s="17">
        <f t="shared" si="230"/>
        <v>-13.229130228495723</v>
      </c>
      <c r="BR91" s="17">
        <f t="shared" si="230"/>
        <v>-5.6128617819298121</v>
      </c>
      <c r="BS91" s="17">
        <f t="shared" si="230"/>
        <v>-5.7684417649785047</v>
      </c>
      <c r="BT91" s="17">
        <f t="shared" si="231"/>
        <v>-6.2046386809657577</v>
      </c>
      <c r="BV91" s="17">
        <f t="shared" si="232"/>
        <v>-5.7166102854374294</v>
      </c>
      <c r="BW91" s="17">
        <f t="shared" si="233"/>
        <v>1.5354511921351177</v>
      </c>
      <c r="BX91" s="17">
        <f t="shared" si="234"/>
        <v>-2.6311544452986446</v>
      </c>
      <c r="BZ91" t="str">
        <f t="shared" si="251"/>
        <v>34 Culture, media and sports occupations</v>
      </c>
      <c r="CA91" s="17">
        <f t="shared" si="235"/>
        <v>5.6550883199280477</v>
      </c>
      <c r="CB91" s="17">
        <f t="shared" si="235"/>
        <v>-9.2925579418261623</v>
      </c>
      <c r="CC91" s="17">
        <f t="shared" si="235"/>
        <v>-3.658488094583634</v>
      </c>
      <c r="CD91" s="17">
        <f t="shared" si="235"/>
        <v>-2.3230074523198252</v>
      </c>
      <c r="CE91" s="17">
        <f t="shared" si="236"/>
        <v>-3.1912611416407444</v>
      </c>
      <c r="CG91" s="17">
        <f t="shared" si="237"/>
        <v>-2.7702120241355987</v>
      </c>
      <c r="CH91" s="17">
        <f t="shared" si="238"/>
        <v>1.630821921925496</v>
      </c>
      <c r="CI91" s="17">
        <f t="shared" si="239"/>
        <v>-0.47726822779654565</v>
      </c>
      <c r="CK91" t="str">
        <f t="shared" si="252"/>
        <v>34 Culture, media and sports occupations</v>
      </c>
      <c r="CL91" s="17">
        <f t="shared" si="240"/>
        <v>6.5672144894110218</v>
      </c>
      <c r="CM91" s="17">
        <f t="shared" si="240"/>
        <v>21.176602518714027</v>
      </c>
      <c r="CN91" s="17">
        <f t="shared" si="240"/>
        <v>-2.5019648311133791</v>
      </c>
      <c r="CO91" s="17">
        <f t="shared" si="240"/>
        <v>-1.8974875476118092</v>
      </c>
      <c r="CP91" s="17">
        <f t="shared" si="241"/>
        <v>-0.78554253032042665</v>
      </c>
      <c r="CR91" s="17">
        <f t="shared" si="242"/>
        <v>-2.0993952425834683</v>
      </c>
      <c r="CS91" s="17">
        <f t="shared" si="243"/>
        <v>1.7206182232446965</v>
      </c>
      <c r="CT91" s="17">
        <f t="shared" si="244"/>
        <v>0.12577048194100104</v>
      </c>
    </row>
    <row r="92" spans="1:98" x14ac:dyDescent="0.2">
      <c r="A92" t="str">
        <f t="shared" si="199"/>
        <v>35 Business and public service associate professionals</v>
      </c>
      <c r="B92" s="17">
        <f t="shared" si="200"/>
        <v>6.64259639262339</v>
      </c>
      <c r="C92" s="17">
        <f t="shared" si="200"/>
        <v>-4.1500799353979883</v>
      </c>
      <c r="D92" s="17">
        <f t="shared" si="200"/>
        <v>5.5586659429760266</v>
      </c>
      <c r="E92" s="17">
        <f t="shared" si="200"/>
        <v>4.4778409729517188</v>
      </c>
      <c r="F92" s="17">
        <f t="shared" si="201"/>
        <v>4.2512916724410932</v>
      </c>
      <c r="H92" s="17">
        <f t="shared" si="202"/>
        <v>4.8368807039444572</v>
      </c>
      <c r="I92" s="17">
        <f t="shared" si="203"/>
        <v>3.5998146118598529</v>
      </c>
      <c r="J92" s="17">
        <f t="shared" si="204"/>
        <v>6.926541108979456</v>
      </c>
      <c r="L92" t="str">
        <f t="shared" si="245"/>
        <v>35 Business and public service associate professionals</v>
      </c>
      <c r="M92" s="17">
        <f t="shared" si="205"/>
        <v>6.6821075092167392</v>
      </c>
      <c r="N92" s="17">
        <f t="shared" si="205"/>
        <v>4.7736855314838733</v>
      </c>
      <c r="O92" s="17">
        <f t="shared" si="205"/>
        <v>4.6523112431968494</v>
      </c>
      <c r="P92" s="17">
        <f t="shared" si="205"/>
        <v>3.7642439869667976</v>
      </c>
      <c r="Q92" s="17">
        <f t="shared" si="206"/>
        <v>4.1039241233052692</v>
      </c>
      <c r="S92" s="17">
        <f t="shared" si="207"/>
        <v>4.0594258947768358</v>
      </c>
      <c r="T92" s="17">
        <f t="shared" si="208"/>
        <v>3.5605498219845488</v>
      </c>
      <c r="U92" s="17">
        <f t="shared" si="209"/>
        <v>6.3175886754657684</v>
      </c>
      <c r="W92" t="str">
        <f t="shared" si="246"/>
        <v>35 Business and public service associate professionals</v>
      </c>
      <c r="X92" s="17">
        <f t="shared" si="210"/>
        <v>0.51247428460923228</v>
      </c>
      <c r="Y92" s="17">
        <f t="shared" si="210"/>
        <v>5.2731552737469212</v>
      </c>
      <c r="Z92" s="17">
        <f t="shared" si="210"/>
        <v>0.54339716973035301</v>
      </c>
      <c r="AA92" s="17">
        <f t="shared" si="210"/>
        <v>0.33522563548933348</v>
      </c>
      <c r="AB92" s="17">
        <f t="shared" si="211"/>
        <v>0.70214776881827312</v>
      </c>
      <c r="AD92" s="17">
        <f t="shared" si="212"/>
        <v>0.40456821258405551</v>
      </c>
      <c r="AE92" s="17">
        <f t="shared" si="213"/>
        <v>2.9456659721861067</v>
      </c>
      <c r="AF92" s="17">
        <f t="shared" si="214"/>
        <v>3.2177891619837418</v>
      </c>
      <c r="AH92" t="str">
        <f t="shared" si="247"/>
        <v>35 Business and public service associate professionals</v>
      </c>
      <c r="AI92" s="17">
        <f t="shared" si="215"/>
        <v>0.16360054311097549</v>
      </c>
      <c r="AJ92" s="17">
        <f t="shared" si="215"/>
        <v>10.973636004750343</v>
      </c>
      <c r="AK92" s="17">
        <f t="shared" si="215"/>
        <v>0.49974300059343335</v>
      </c>
      <c r="AL92" s="17">
        <f t="shared" si="215"/>
        <v>0.81982590447133852</v>
      </c>
      <c r="AM92" s="17">
        <f t="shared" si="216"/>
        <v>1.3255570953383256</v>
      </c>
      <c r="AO92" s="17">
        <f t="shared" si="217"/>
        <v>0.71301849254099547</v>
      </c>
      <c r="AP92" s="17">
        <f t="shared" si="218"/>
        <v>2.8458163790714863</v>
      </c>
      <c r="AQ92" s="17">
        <f t="shared" si="219"/>
        <v>3.3353303065166484</v>
      </c>
      <c r="AS92" t="str">
        <f t="shared" si="248"/>
        <v>35 Business and public service associate professionals</v>
      </c>
      <c r="AT92" s="17">
        <f t="shared" si="220"/>
        <v>-0.67600938467472504</v>
      </c>
      <c r="AU92" s="17">
        <f t="shared" si="220"/>
        <v>6.8909699441165095</v>
      </c>
      <c r="AV92" s="17">
        <f t="shared" si="220"/>
        <v>-5.9607966939756452E-2</v>
      </c>
      <c r="AW92" s="17">
        <f t="shared" si="220"/>
        <v>0.50972491725733704</v>
      </c>
      <c r="AX92" s="17">
        <f t="shared" si="221"/>
        <v>0.71819732511624323</v>
      </c>
      <c r="AZ92" s="17">
        <f t="shared" si="222"/>
        <v>0.31958782829397681</v>
      </c>
      <c r="BA92" s="17">
        <f t="shared" si="223"/>
        <v>2.7237489139554816</v>
      </c>
      <c r="BB92" s="17">
        <f t="shared" si="224"/>
        <v>2.9447465389350391</v>
      </c>
      <c r="BD92" t="str">
        <f t="shared" si="249"/>
        <v>35 Business and public service associate professionals</v>
      </c>
      <c r="BE92" s="17">
        <f t="shared" si="225"/>
        <v>1.9182147726697574</v>
      </c>
      <c r="BF92" s="17">
        <f t="shared" si="225"/>
        <v>2.9095568027783569</v>
      </c>
      <c r="BG92" s="17">
        <f t="shared" si="225"/>
        <v>-1.8754187989168059</v>
      </c>
      <c r="BH92" s="17">
        <f t="shared" si="225"/>
        <v>-0.2582607675605475</v>
      </c>
      <c r="BI92" s="17">
        <f t="shared" si="226"/>
        <v>-0.57235916007551957</v>
      </c>
      <c r="BK92" s="17">
        <f t="shared" si="227"/>
        <v>-0.80025327503142618</v>
      </c>
      <c r="BL92" s="17">
        <f t="shared" si="228"/>
        <v>2.0685705297333268</v>
      </c>
      <c r="BM92" s="17">
        <f t="shared" si="229"/>
        <v>1.4768552173339611</v>
      </c>
      <c r="BO92" t="str">
        <f t="shared" si="250"/>
        <v>35 Business and public service associate professionals</v>
      </c>
      <c r="BP92" s="17">
        <f t="shared" si="230"/>
        <v>-1.0085906891920349</v>
      </c>
      <c r="BQ92" s="17">
        <f t="shared" si="230"/>
        <v>6.0523214744267362</v>
      </c>
      <c r="BR92" s="17">
        <f t="shared" si="230"/>
        <v>-4.6314964493876172</v>
      </c>
      <c r="BS92" s="17">
        <f t="shared" si="230"/>
        <v>-2.9546976332402664</v>
      </c>
      <c r="BT92" s="17">
        <f t="shared" si="231"/>
        <v>-2.9449501049862215</v>
      </c>
      <c r="BV92" s="17">
        <f t="shared" si="232"/>
        <v>-3.5168810111835591</v>
      </c>
      <c r="BW92" s="17">
        <f t="shared" si="233"/>
        <v>1.7692044563927034</v>
      </c>
      <c r="BX92" s="17">
        <f t="shared" si="234"/>
        <v>-0.80826103996498588</v>
      </c>
      <c r="BZ92" t="str">
        <f t="shared" si="251"/>
        <v>35 Business and public service associate professionals</v>
      </c>
      <c r="CA92" s="17">
        <f t="shared" si="235"/>
        <v>5.7844918871673867</v>
      </c>
      <c r="CB92" s="17">
        <f t="shared" si="235"/>
        <v>-4.4081777569930924</v>
      </c>
      <c r="CC92" s="17">
        <f t="shared" si="235"/>
        <v>-4.3185233310838234</v>
      </c>
      <c r="CD92" s="17">
        <f t="shared" si="235"/>
        <v>-3.2432291706634531</v>
      </c>
      <c r="CE92" s="17">
        <f t="shared" si="236"/>
        <v>-3.6535185374637513</v>
      </c>
      <c r="CG92" s="17">
        <f t="shared" si="237"/>
        <v>-3.6029966106282063</v>
      </c>
      <c r="CH92" s="17">
        <f t="shared" si="238"/>
        <v>1.4327332794837222</v>
      </c>
      <c r="CI92" s="17">
        <f t="shared" si="239"/>
        <v>-1.3580332016206675</v>
      </c>
      <c r="CK92" t="str">
        <f t="shared" si="252"/>
        <v>35 Business and public service associate professionals</v>
      </c>
      <c r="CL92" s="17">
        <f t="shared" si="240"/>
        <v>1.9333881197174385</v>
      </c>
      <c r="CM92" s="17">
        <f t="shared" si="240"/>
        <v>26.202425993173041</v>
      </c>
      <c r="CN92" s="17">
        <f t="shared" si="240"/>
        <v>-6.471717771370356</v>
      </c>
      <c r="CO92" s="17">
        <f t="shared" si="240"/>
        <v>-2.613815044782275</v>
      </c>
      <c r="CP92" s="17">
        <f t="shared" si="241"/>
        <v>-2.2656449405774381</v>
      </c>
      <c r="CR92" s="17">
        <f t="shared" si="242"/>
        <v>-3.917147481391825</v>
      </c>
      <c r="CS92" s="17">
        <f t="shared" si="243"/>
        <v>1.3883357934356466</v>
      </c>
      <c r="CT92" s="17">
        <f t="shared" si="244"/>
        <v>-1.6519742217290023</v>
      </c>
    </row>
    <row r="93" spans="1:98" x14ac:dyDescent="0.2">
      <c r="A93" t="str">
        <f t="shared" si="199"/>
        <v>41 Administrative occupations</v>
      </c>
      <c r="B93" s="17">
        <f t="shared" si="200"/>
        <v>5.8903631485657471</v>
      </c>
      <c r="C93" s="17">
        <f t="shared" si="200"/>
        <v>-1.436595570122734</v>
      </c>
      <c r="D93" s="17">
        <f t="shared" si="200"/>
        <v>5.8737602459310256</v>
      </c>
      <c r="E93" s="17">
        <f t="shared" si="200"/>
        <v>5.3130304047785959</v>
      </c>
      <c r="F93" s="17">
        <f t="shared" si="201"/>
        <v>5.0521403559875333</v>
      </c>
      <c r="H93" s="17">
        <f t="shared" si="202"/>
        <v>5.4996096011649565</v>
      </c>
      <c r="I93" s="17">
        <f t="shared" si="203"/>
        <v>4.2575227453360398</v>
      </c>
      <c r="J93" s="17">
        <f t="shared" si="204"/>
        <v>7.8375829863320368</v>
      </c>
      <c r="L93" t="str">
        <f t="shared" si="245"/>
        <v>41 Administrative occupations</v>
      </c>
      <c r="M93" s="17">
        <f t="shared" si="205"/>
        <v>5.6599920486296806</v>
      </c>
      <c r="N93" s="17">
        <f t="shared" si="205"/>
        <v>8.6520860853111401</v>
      </c>
      <c r="O93" s="17">
        <f t="shared" si="205"/>
        <v>5.0721660401845892</v>
      </c>
      <c r="P93" s="17">
        <f t="shared" si="205"/>
        <v>4.7079278354948739</v>
      </c>
      <c r="Q93" s="17">
        <f t="shared" si="206"/>
        <v>5.0641397877574601</v>
      </c>
      <c r="S93" s="17">
        <f t="shared" si="207"/>
        <v>4.8292000592534468</v>
      </c>
      <c r="T93" s="17">
        <f t="shared" si="208"/>
        <v>4.0817735914551845</v>
      </c>
      <c r="U93" s="17">
        <f t="shared" si="209"/>
        <v>7.2343528142466917</v>
      </c>
      <c r="W93" t="str">
        <f t="shared" si="246"/>
        <v>41 Administrative occupations</v>
      </c>
      <c r="X93" s="17">
        <f t="shared" si="210"/>
        <v>-1.0035429726467981</v>
      </c>
      <c r="Y93" s="17">
        <f t="shared" si="210"/>
        <v>14.219279705098732</v>
      </c>
      <c r="Z93" s="17">
        <f t="shared" si="210"/>
        <v>1.617641095940292</v>
      </c>
      <c r="AA93" s="17">
        <f t="shared" si="210"/>
        <v>1.3080510731332096</v>
      </c>
      <c r="AB93" s="17">
        <f t="shared" si="211"/>
        <v>2.167798554511835</v>
      </c>
      <c r="AD93" s="17">
        <f t="shared" si="212"/>
        <v>1.4111428050005648</v>
      </c>
      <c r="AE93" s="17">
        <f t="shared" si="213"/>
        <v>3.4197241561446212</v>
      </c>
      <c r="AF93" s="17">
        <f t="shared" si="214"/>
        <v>4.3347341598945821</v>
      </c>
      <c r="AH93" t="str">
        <f t="shared" si="247"/>
        <v>41 Administrative occupations</v>
      </c>
      <c r="AI93" s="17">
        <f t="shared" si="215"/>
        <v>-0.92615462514151758</v>
      </c>
      <c r="AJ93" s="17">
        <f t="shared" si="215"/>
        <v>11.361501912337646</v>
      </c>
      <c r="AK93" s="17">
        <f t="shared" si="215"/>
        <v>1.0120137634176407</v>
      </c>
      <c r="AL93" s="17">
        <f t="shared" si="215"/>
        <v>1.189610468247948</v>
      </c>
      <c r="AM93" s="17">
        <f t="shared" si="216"/>
        <v>1.7413431360951526</v>
      </c>
      <c r="AO93" s="17">
        <f t="shared" si="217"/>
        <v>1.1303768997287911</v>
      </c>
      <c r="AP93" s="17">
        <f t="shared" si="218"/>
        <v>3.4540671227499153</v>
      </c>
      <c r="AQ93" s="17">
        <f t="shared" si="219"/>
        <v>4.178550022085159</v>
      </c>
      <c r="AS93" t="str">
        <f t="shared" si="248"/>
        <v>41 Administrative occupations</v>
      </c>
      <c r="AT93" s="17">
        <f t="shared" si="220"/>
        <v>-0.78293335557201305</v>
      </c>
      <c r="AU93" s="17">
        <f t="shared" si="220"/>
        <v>12.698647983987566</v>
      </c>
      <c r="AV93" s="17">
        <f t="shared" si="220"/>
        <v>0.6644272898662873</v>
      </c>
      <c r="AW93" s="17">
        <f t="shared" si="220"/>
        <v>1.0522649232687975</v>
      </c>
      <c r="AX93" s="17">
        <f t="shared" si="221"/>
        <v>1.6213500024476524</v>
      </c>
      <c r="AZ93" s="17">
        <f t="shared" si="222"/>
        <v>0.92281996778571518</v>
      </c>
      <c r="BA93" s="17">
        <f t="shared" si="223"/>
        <v>3.2433321668012161</v>
      </c>
      <c r="BB93" s="17">
        <f t="shared" si="224"/>
        <v>3.8478776316170915</v>
      </c>
      <c r="BD93" t="str">
        <f t="shared" si="249"/>
        <v>41 Administrative occupations</v>
      </c>
      <c r="BE93" s="17">
        <f t="shared" si="225"/>
        <v>0.70073565725978781</v>
      </c>
      <c r="BF93" s="17">
        <f t="shared" si="225"/>
        <v>3.222928226904731</v>
      </c>
      <c r="BG93" s="17">
        <f t="shared" si="225"/>
        <v>-1.8112316422313035</v>
      </c>
      <c r="BH93" s="17">
        <f t="shared" si="225"/>
        <v>-1.2889601157154762</v>
      </c>
      <c r="BI93" s="17">
        <f t="shared" si="226"/>
        <v>-1.1768013560516821</v>
      </c>
      <c r="BK93" s="17">
        <f t="shared" si="227"/>
        <v>-1.4633585628203716</v>
      </c>
      <c r="BL93" s="17">
        <f t="shared" si="228"/>
        <v>2.2641501981686574</v>
      </c>
      <c r="BM93" s="17">
        <f t="shared" si="229"/>
        <v>1.226963190817898</v>
      </c>
      <c r="BO93" t="str">
        <f t="shared" si="250"/>
        <v>41 Administrative occupations</v>
      </c>
      <c r="BP93" s="17">
        <f t="shared" si="230"/>
        <v>-2.1751548355246619</v>
      </c>
      <c r="BQ93" s="17">
        <f t="shared" si="230"/>
        <v>-2.5418809774136131</v>
      </c>
      <c r="BR93" s="17">
        <f t="shared" si="230"/>
        <v>-5.1342426106578571</v>
      </c>
      <c r="BS93" s="17">
        <f t="shared" si="230"/>
        <v>-5.1253535862459838</v>
      </c>
      <c r="BT93" s="17">
        <f t="shared" si="231"/>
        <v>-4.9686945944817928</v>
      </c>
      <c r="BV93" s="17">
        <f t="shared" si="232"/>
        <v>-5.1283166869251158</v>
      </c>
      <c r="BW93" s="17">
        <f t="shared" si="233"/>
        <v>1.7819720894775459</v>
      </c>
      <c r="BX93" s="17">
        <f t="shared" si="234"/>
        <v>-1.8358178929106184</v>
      </c>
      <c r="BZ93" t="str">
        <f t="shared" si="251"/>
        <v>41 Administrative occupations</v>
      </c>
      <c r="CA93" s="17">
        <f t="shared" si="235"/>
        <v>1.2234705540278945</v>
      </c>
      <c r="CB93" s="17">
        <f t="shared" si="235"/>
        <v>2.5502612030342986</v>
      </c>
      <c r="CC93" s="17">
        <f t="shared" si="235"/>
        <v>-7.7067989537539683</v>
      </c>
      <c r="CD93" s="17">
        <f t="shared" si="235"/>
        <v>-9.3566308157959419</v>
      </c>
      <c r="CE93" s="17">
        <f t="shared" si="236"/>
        <v>-8.1383785035593732</v>
      </c>
      <c r="CG93" s="17">
        <f t="shared" si="237"/>
        <v>-8.8099901012908095</v>
      </c>
      <c r="CH93" s="17">
        <f t="shared" si="238"/>
        <v>1.1357782260459359</v>
      </c>
      <c r="CI93" s="17">
        <f t="shared" si="239"/>
        <v>-5.3933974394233868</v>
      </c>
      <c r="CK93" t="str">
        <f t="shared" si="252"/>
        <v>41 Administrative occupations</v>
      </c>
      <c r="CL93" s="17">
        <f t="shared" si="240"/>
        <v>-4.6002642834282126</v>
      </c>
      <c r="CM93" s="17">
        <f t="shared" si="240"/>
        <v>12.190219919722111</v>
      </c>
      <c r="CN93" s="17">
        <f t="shared" si="240"/>
        <v>-8.3745899575194738</v>
      </c>
      <c r="CO93" s="17">
        <f t="shared" si="240"/>
        <v>-7.4584116217265128</v>
      </c>
      <c r="CP93" s="17">
        <f t="shared" si="241"/>
        <v>-6.6288389156155532</v>
      </c>
      <c r="CR93" s="17">
        <f t="shared" si="242"/>
        <v>-7.7648177946983976</v>
      </c>
      <c r="CS93" s="17">
        <f t="shared" si="243"/>
        <v>1.0977335374358521</v>
      </c>
      <c r="CT93" s="17">
        <f t="shared" si="244"/>
        <v>-4.8363348915165139</v>
      </c>
    </row>
    <row r="94" spans="1:98" x14ac:dyDescent="0.2">
      <c r="A94" t="str">
        <f t="shared" si="199"/>
        <v>42 Secretarial and related occupations</v>
      </c>
      <c r="B94" s="17">
        <f t="shared" si="200"/>
        <v>6.3624181997951279</v>
      </c>
      <c r="C94" s="17">
        <f t="shared" si="200"/>
        <v>-8.7085663222676644</v>
      </c>
      <c r="D94" s="17">
        <f t="shared" si="200"/>
        <v>11.151381035656183</v>
      </c>
      <c r="E94" s="17">
        <f t="shared" si="200"/>
        <v>8.0108327162259574</v>
      </c>
      <c r="F94" s="17">
        <f t="shared" si="201"/>
        <v>7.8430949124236538</v>
      </c>
      <c r="H94" s="17">
        <f t="shared" si="202"/>
        <v>9.047696794057881</v>
      </c>
      <c r="I94" s="17">
        <f t="shared" si="203"/>
        <v>6.1786623280389419</v>
      </c>
      <c r="J94" s="17">
        <f t="shared" si="204"/>
        <v>11.508804133990669</v>
      </c>
      <c r="L94" t="str">
        <f t="shared" si="245"/>
        <v>42 Secretarial and related occupations</v>
      </c>
      <c r="M94" s="17">
        <f t="shared" si="205"/>
        <v>1.7959534601008187</v>
      </c>
      <c r="N94" s="17">
        <f t="shared" si="205"/>
        <v>7.0617535366011897</v>
      </c>
      <c r="O94" s="17">
        <f t="shared" si="205"/>
        <v>11.245292661046836</v>
      </c>
      <c r="P94" s="17">
        <f t="shared" si="205"/>
        <v>3.7585000011528313</v>
      </c>
      <c r="Q94" s="17">
        <f t="shared" si="206"/>
        <v>6.2502506752260656</v>
      </c>
      <c r="S94" s="17">
        <f t="shared" si="207"/>
        <v>6.1963697043361909</v>
      </c>
      <c r="T94" s="17">
        <f t="shared" si="208"/>
        <v>5.1049493229869736</v>
      </c>
      <c r="U94" s="17">
        <f t="shared" si="209"/>
        <v>8.8628577019628452</v>
      </c>
      <c r="W94" t="str">
        <f t="shared" si="246"/>
        <v>42 Secretarial and related occupations</v>
      </c>
      <c r="X94" s="17">
        <f t="shared" si="210"/>
        <v>-2.3881692087964423</v>
      </c>
      <c r="Y94" s="17">
        <f t="shared" si="210"/>
        <v>7.6889160851573379</v>
      </c>
      <c r="Z94" s="17">
        <f t="shared" si="210"/>
        <v>9.2018704879981872</v>
      </c>
      <c r="AA94" s="17">
        <f t="shared" si="210"/>
        <v>5.925591879313874</v>
      </c>
      <c r="AB94" s="17">
        <f t="shared" si="211"/>
        <v>7.0491317385824148</v>
      </c>
      <c r="AD94" s="17">
        <f t="shared" si="212"/>
        <v>7.0066148454760668</v>
      </c>
      <c r="AE94" s="17">
        <f t="shared" si="213"/>
        <v>5.1831683768783554</v>
      </c>
      <c r="AF94" s="17">
        <f t="shared" si="214"/>
        <v>9.4892631307510467</v>
      </c>
      <c r="AH94" t="str">
        <f t="shared" si="247"/>
        <v>42 Secretarial and related occupations</v>
      </c>
      <c r="AI94" s="17">
        <f t="shared" si="215"/>
        <v>-4.3071637689875093</v>
      </c>
      <c r="AJ94" s="17">
        <f t="shared" si="215"/>
        <v>16.657550776058105</v>
      </c>
      <c r="AK94" s="17">
        <f t="shared" si="215"/>
        <v>6.9031707975210743</v>
      </c>
      <c r="AL94" s="17">
        <f t="shared" si="215"/>
        <v>1.3222609228395577</v>
      </c>
      <c r="AM94" s="17">
        <f t="shared" si="216"/>
        <v>3.9458504504965353</v>
      </c>
      <c r="AO94" s="17">
        <f t="shared" si="217"/>
        <v>3.1494168431335012</v>
      </c>
      <c r="AP94" s="17">
        <f t="shared" si="218"/>
        <v>4.4201238245606067</v>
      </c>
      <c r="AQ94" s="17">
        <f t="shared" si="219"/>
        <v>6.3144049119106649</v>
      </c>
      <c r="AS94" t="str">
        <f t="shared" si="248"/>
        <v>42 Secretarial and related occupations</v>
      </c>
      <c r="AT94" s="17">
        <f t="shared" si="220"/>
        <v>-4.3673406489247002</v>
      </c>
      <c r="AU94" s="17">
        <f t="shared" si="220"/>
        <v>22.061998102313218</v>
      </c>
      <c r="AV94" s="17">
        <f t="shared" si="220"/>
        <v>5.0894656856285803</v>
      </c>
      <c r="AW94" s="17">
        <f t="shared" si="220"/>
        <v>4.215816849904952</v>
      </c>
      <c r="AX94" s="17">
        <f t="shared" si="221"/>
        <v>5.525409883276855</v>
      </c>
      <c r="AZ94" s="17">
        <f t="shared" si="222"/>
        <v>4.5062231348603987</v>
      </c>
      <c r="BA94" s="17">
        <f t="shared" si="223"/>
        <v>3.9174397406124495</v>
      </c>
      <c r="BB94" s="17">
        <f t="shared" si="224"/>
        <v>6.8895763258085996</v>
      </c>
      <c r="BD94" t="str">
        <f t="shared" si="249"/>
        <v>42 Secretarial and related occupations</v>
      </c>
      <c r="BE94" s="17">
        <f t="shared" si="225"/>
        <v>-1.0302453638302733</v>
      </c>
      <c r="BF94" s="17">
        <f t="shared" si="225"/>
        <v>-6.538973300667406</v>
      </c>
      <c r="BG94" s="17">
        <f t="shared" si="225"/>
        <v>2.6869623599367731</v>
      </c>
      <c r="BH94" s="17">
        <f t="shared" si="225"/>
        <v>-9.4341072518832512</v>
      </c>
      <c r="BI94" s="17">
        <f t="shared" si="226"/>
        <v>-5.6230663168268187</v>
      </c>
      <c r="BK94" s="17">
        <f t="shared" si="227"/>
        <v>-5.5616876808219251</v>
      </c>
      <c r="BL94" s="17">
        <f t="shared" si="228"/>
        <v>2.1399002440755988</v>
      </c>
      <c r="BM94" s="17">
        <f t="shared" si="229"/>
        <v>-1.4956384429500758</v>
      </c>
      <c r="BO94" t="str">
        <f t="shared" si="250"/>
        <v>42 Secretarial and related occupations</v>
      </c>
      <c r="BP94" s="17">
        <f t="shared" si="230"/>
        <v>-4.2513917149607501</v>
      </c>
      <c r="BQ94" s="17">
        <f t="shared" si="230"/>
        <v>-14.759799060610312</v>
      </c>
      <c r="BR94" s="17">
        <f t="shared" si="230"/>
        <v>-4.7686516723098986</v>
      </c>
      <c r="BS94" s="17">
        <f t="shared" si="230"/>
        <v>-13.265777379964383</v>
      </c>
      <c r="BT94" s="17">
        <f t="shared" si="231"/>
        <v>-10.792151617695566</v>
      </c>
      <c r="BV94" s="17">
        <f t="shared" si="232"/>
        <v>-10.521168367735678</v>
      </c>
      <c r="BW94" s="17">
        <f t="shared" si="233"/>
        <v>1.681424507425322</v>
      </c>
      <c r="BX94" s="17">
        <f t="shared" si="234"/>
        <v>-4.870040052301583</v>
      </c>
      <c r="BZ94" t="str">
        <f t="shared" si="251"/>
        <v>42 Secretarial and related occupations</v>
      </c>
      <c r="CA94" s="17">
        <f t="shared" si="235"/>
        <v>1.724318846155426</v>
      </c>
      <c r="CB94" s="17">
        <f t="shared" si="235"/>
        <v>-3.3717427099780206</v>
      </c>
      <c r="CC94" s="17">
        <f t="shared" si="235"/>
        <v>-9.9878454107196539</v>
      </c>
      <c r="CD94" s="17">
        <f t="shared" si="235"/>
        <v>-10.717429806431811</v>
      </c>
      <c r="CE94" s="17">
        <f t="shared" si="236"/>
        <v>-10.046659004161206</v>
      </c>
      <c r="CG94" s="17">
        <f t="shared" si="237"/>
        <v>-10.4748944497158</v>
      </c>
      <c r="CH94" s="17">
        <f t="shared" si="238"/>
        <v>1.1844714924357014</v>
      </c>
      <c r="CI94" s="17">
        <f t="shared" si="239"/>
        <v>-6.191728093427173</v>
      </c>
      <c r="CK94" t="str">
        <f t="shared" si="252"/>
        <v>42 Secretarial and related occupations</v>
      </c>
      <c r="CL94" s="17">
        <f t="shared" si="240"/>
        <v>-2.8983256644300792</v>
      </c>
      <c r="CM94" s="17">
        <f t="shared" si="240"/>
        <v>5.9537107667837263</v>
      </c>
      <c r="CN94" s="17">
        <f t="shared" si="240"/>
        <v>0.74022979810051126</v>
      </c>
      <c r="CO94" s="17">
        <f t="shared" si="240"/>
        <v>-10.531777257004793</v>
      </c>
      <c r="CP94" s="17">
        <f t="shared" si="241"/>
        <v>-6.1652535073507213</v>
      </c>
      <c r="CR94" s="17">
        <f t="shared" si="242"/>
        <v>-6.9220407789439502</v>
      </c>
      <c r="CS94" s="17">
        <f t="shared" si="243"/>
        <v>1.8408928869622532</v>
      </c>
      <c r="CT94" s="17">
        <f t="shared" si="244"/>
        <v>-2.7746756297231112</v>
      </c>
    </row>
    <row r="95" spans="1:98" x14ac:dyDescent="0.2">
      <c r="A95" t="str">
        <f t="shared" si="199"/>
        <v>51 Skilled agricultural and related trades</v>
      </c>
      <c r="B95" s="17">
        <f t="shared" si="200"/>
        <v>16.220435620563499</v>
      </c>
      <c r="C95" s="17">
        <f t="shared" si="200"/>
        <v>-13.764920330453412</v>
      </c>
      <c r="D95" s="17">
        <f t="shared" si="200"/>
        <v>5.9579838891544945</v>
      </c>
      <c r="E95" s="17">
        <f t="shared" si="200"/>
        <v>5.6896181459921147</v>
      </c>
      <c r="F95" s="17">
        <f t="shared" si="201"/>
        <v>4.4370823558389283</v>
      </c>
      <c r="H95" s="17">
        <f t="shared" si="202"/>
        <v>5.7789977857949371</v>
      </c>
      <c r="I95" s="17">
        <f t="shared" si="203"/>
        <v>5.4901432707182618</v>
      </c>
      <c r="J95" s="17">
        <f t="shared" si="204"/>
        <v>8.8174495172432579</v>
      </c>
      <c r="L95" t="str">
        <f t="shared" si="245"/>
        <v>51 Skilled agricultural and related trades</v>
      </c>
      <c r="M95" s="17">
        <f t="shared" si="205"/>
        <v>1.9240036693330964</v>
      </c>
      <c r="N95" s="17">
        <f t="shared" si="205"/>
        <v>9.1531917295434084</v>
      </c>
      <c r="O95" s="17">
        <f t="shared" si="205"/>
        <v>5.8895155585673598</v>
      </c>
      <c r="P95" s="17">
        <f t="shared" si="205"/>
        <v>5.0241809138923399</v>
      </c>
      <c r="Q95" s="17">
        <f t="shared" si="206"/>
        <v>5.5479110447997027</v>
      </c>
      <c r="S95" s="17">
        <f t="shared" si="207"/>
        <v>5.3118371991137892</v>
      </c>
      <c r="T95" s="17">
        <f t="shared" si="208"/>
        <v>4.0320056545358529</v>
      </c>
      <c r="U95" s="17">
        <f t="shared" si="209"/>
        <v>7.5576433770875973</v>
      </c>
      <c r="W95" t="str">
        <f t="shared" si="246"/>
        <v>51 Skilled agricultural and related trades</v>
      </c>
      <c r="X95" s="17">
        <f t="shared" si="210"/>
        <v>-1.4580720069545028</v>
      </c>
      <c r="Y95" s="17">
        <f t="shared" si="210"/>
        <v>21.183110473925492</v>
      </c>
      <c r="Z95" s="17">
        <f t="shared" si="210"/>
        <v>4.100952889892584</v>
      </c>
      <c r="AA95" s="17">
        <f t="shared" si="210"/>
        <v>3.3615255706426428</v>
      </c>
      <c r="AB95" s="17">
        <f t="shared" si="211"/>
        <v>4.6270656669416432</v>
      </c>
      <c r="AD95" s="17">
        <f t="shared" si="212"/>
        <v>3.6074159227000191</v>
      </c>
      <c r="AE95" s="17">
        <f t="shared" si="213"/>
        <v>4.4353156341620625</v>
      </c>
      <c r="AF95" s="17">
        <f t="shared" si="214"/>
        <v>6.6291205026912881</v>
      </c>
      <c r="AH95" t="str">
        <f t="shared" si="247"/>
        <v>51 Skilled agricultural and related trades</v>
      </c>
      <c r="AI95" s="17">
        <f t="shared" si="215"/>
        <v>1.0965412302785138</v>
      </c>
      <c r="AJ95" s="17">
        <f t="shared" si="215"/>
        <v>2.8196050445916665</v>
      </c>
      <c r="AK95" s="17">
        <f t="shared" si="215"/>
        <v>4.8428447054925439</v>
      </c>
      <c r="AL95" s="17">
        <f t="shared" si="215"/>
        <v>3.0997007546947897</v>
      </c>
      <c r="AM95" s="17">
        <f t="shared" si="216"/>
        <v>3.623676683914967</v>
      </c>
      <c r="AO95" s="17">
        <f t="shared" si="217"/>
        <v>3.6775044918315514</v>
      </c>
      <c r="AP95" s="17">
        <f t="shared" si="218"/>
        <v>4.68060145888618</v>
      </c>
      <c r="AQ95" s="17">
        <f t="shared" si="219"/>
        <v>6.8590967565163252</v>
      </c>
      <c r="AS95" t="str">
        <f t="shared" si="248"/>
        <v>51 Skilled agricultural and related trades</v>
      </c>
      <c r="AT95" s="17">
        <f t="shared" si="220"/>
        <v>-0.29885562494694762</v>
      </c>
      <c r="AU95" s="17">
        <f t="shared" si="220"/>
        <v>4.4714850260149541</v>
      </c>
      <c r="AV95" s="17">
        <f t="shared" si="220"/>
        <v>3.506784537866614</v>
      </c>
      <c r="AW95" s="17">
        <f t="shared" si="220"/>
        <v>2.8100866243439881</v>
      </c>
      <c r="AX95" s="17">
        <f t="shared" si="221"/>
        <v>3.130576174805233</v>
      </c>
      <c r="AZ95" s="17">
        <f t="shared" si="222"/>
        <v>3.0417966493554216</v>
      </c>
      <c r="BA95" s="17">
        <f t="shared" si="223"/>
        <v>4.0728120141026336</v>
      </c>
      <c r="BB95" s="17">
        <f t="shared" si="224"/>
        <v>5.9730273494153829</v>
      </c>
      <c r="BD95" t="str">
        <f t="shared" si="249"/>
        <v>51 Skilled agricultural and related trades</v>
      </c>
      <c r="BE95" s="17">
        <f t="shared" si="225"/>
        <v>-1.583243544552726</v>
      </c>
      <c r="BF95" s="17">
        <f t="shared" si="225"/>
        <v>1.5663629786285327</v>
      </c>
      <c r="BG95" s="17">
        <f t="shared" si="225"/>
        <v>-7.2914070489127347E-2</v>
      </c>
      <c r="BH95" s="17">
        <f t="shared" si="225"/>
        <v>0.69720235720380774</v>
      </c>
      <c r="BI95" s="17">
        <f t="shared" si="226"/>
        <v>0.50987987299153659</v>
      </c>
      <c r="BK95" s="17">
        <f t="shared" si="227"/>
        <v>0.4398396721517539</v>
      </c>
      <c r="BL95" s="17">
        <f t="shared" si="228"/>
        <v>2.653493097294124</v>
      </c>
      <c r="BM95" s="17">
        <f t="shared" si="229"/>
        <v>2.9613455429158719</v>
      </c>
      <c r="BO95" t="str">
        <f t="shared" si="250"/>
        <v>51 Skilled agricultural and related trades</v>
      </c>
      <c r="BP95" s="17">
        <f t="shared" si="230"/>
        <v>-3.66071778473811</v>
      </c>
      <c r="BQ95" s="17">
        <f t="shared" si="230"/>
        <v>4.396013505670382</v>
      </c>
      <c r="BR95" s="17">
        <f t="shared" si="230"/>
        <v>-1.709523080872577</v>
      </c>
      <c r="BS95" s="17">
        <f t="shared" si="230"/>
        <v>-0.43274488205826689</v>
      </c>
      <c r="BT95" s="17">
        <f t="shared" si="231"/>
        <v>-0.5395535008637653</v>
      </c>
      <c r="BV95" s="17">
        <f t="shared" si="232"/>
        <v>-0.8601698507226252</v>
      </c>
      <c r="BW95" s="17">
        <f t="shared" si="233"/>
        <v>2.6951561309908945</v>
      </c>
      <c r="BX95" s="17">
        <f t="shared" si="234"/>
        <v>2.1143428386689589</v>
      </c>
      <c r="BZ95" t="str">
        <f t="shared" si="251"/>
        <v>51 Skilled agricultural and related trades</v>
      </c>
      <c r="CA95" s="17">
        <f t="shared" si="235"/>
        <v>2.1705252648461126</v>
      </c>
      <c r="CB95" s="17">
        <f t="shared" si="235"/>
        <v>-6.2883537746487246</v>
      </c>
      <c r="CC95" s="17">
        <f t="shared" si="235"/>
        <v>-1.1362453764086511</v>
      </c>
      <c r="CD95" s="17">
        <f t="shared" si="235"/>
        <v>0.82269208921277315</v>
      </c>
      <c r="CE95" s="17">
        <f t="shared" si="236"/>
        <v>-0.25063892152435985</v>
      </c>
      <c r="CG95" s="17">
        <f t="shared" si="237"/>
        <v>0.16543765937109267</v>
      </c>
      <c r="CH95" s="17">
        <f t="shared" si="238"/>
        <v>2.2393296272043894</v>
      </c>
      <c r="CI95" s="17">
        <f t="shared" si="239"/>
        <v>2.3610590653288632</v>
      </c>
      <c r="CK95" t="str">
        <f t="shared" si="252"/>
        <v>51 Skilled agricultural and related trades</v>
      </c>
      <c r="CL95" s="17">
        <f t="shared" si="240"/>
        <v>0.82810435977793695</v>
      </c>
      <c r="CM95" s="17">
        <f t="shared" si="240"/>
        <v>60.481843337098894</v>
      </c>
      <c r="CN95" s="17">
        <f t="shared" si="240"/>
        <v>-4.9595438437779249</v>
      </c>
      <c r="CO95" s="17">
        <f t="shared" si="240"/>
        <v>-8.8461990925653211</v>
      </c>
      <c r="CP95" s="17">
        <f t="shared" si="241"/>
        <v>-4.3258157274130182</v>
      </c>
      <c r="CR95" s="17">
        <f t="shared" si="242"/>
        <v>-7.5686366208502882</v>
      </c>
      <c r="CS95" s="17">
        <f t="shared" si="243"/>
        <v>1.3847370923198987</v>
      </c>
      <c r="CT95" s="17">
        <f t="shared" si="244"/>
        <v>-4.0697118576355713</v>
      </c>
    </row>
    <row r="96" spans="1:98" x14ac:dyDescent="0.2">
      <c r="A96" t="str">
        <f t="shared" si="199"/>
        <v>52 Skilled metal, electrical and electronic trades</v>
      </c>
      <c r="B96" s="17">
        <f t="shared" si="200"/>
        <v>7.051894140101278</v>
      </c>
      <c r="C96" s="17">
        <f t="shared" si="200"/>
        <v>-1.0931345549057836</v>
      </c>
      <c r="D96" s="17">
        <f t="shared" si="200"/>
        <v>7.4114314988944496</v>
      </c>
      <c r="E96" s="17">
        <f t="shared" si="200"/>
        <v>4.495234882547483</v>
      </c>
      <c r="F96" s="17">
        <f t="shared" si="201"/>
        <v>5.0364993419769633</v>
      </c>
      <c r="H96" s="17">
        <f t="shared" si="202"/>
        <v>5.4583954365857501</v>
      </c>
      <c r="I96" s="17">
        <f t="shared" si="203"/>
        <v>3.4247263117783699</v>
      </c>
      <c r="J96" s="17">
        <f t="shared" si="204"/>
        <v>7.2977648520550442</v>
      </c>
      <c r="L96" t="str">
        <f t="shared" si="245"/>
        <v>52 Skilled metal, electrical and electronic trades</v>
      </c>
      <c r="M96" s="17">
        <f t="shared" si="205"/>
        <v>6.2464231670378956</v>
      </c>
      <c r="N96" s="17">
        <f t="shared" si="205"/>
        <v>-20.313057185437867</v>
      </c>
      <c r="O96" s="17">
        <f t="shared" si="205"/>
        <v>12.401968397560736</v>
      </c>
      <c r="P96" s="17">
        <f t="shared" si="205"/>
        <v>6.7393346869802695</v>
      </c>
      <c r="Q96" s="17">
        <f t="shared" si="206"/>
        <v>6.5139165195069459</v>
      </c>
      <c r="S96" s="17">
        <f t="shared" si="207"/>
        <v>8.5944507890991275</v>
      </c>
      <c r="T96" s="17">
        <f t="shared" si="208"/>
        <v>5.1567331123569593</v>
      </c>
      <c r="U96" s="17">
        <f t="shared" si="209"/>
        <v>10.66155718326074</v>
      </c>
      <c r="W96" t="str">
        <f t="shared" si="246"/>
        <v>52 Skilled metal, electrical and electronic trades</v>
      </c>
      <c r="X96" s="17">
        <f t="shared" si="210"/>
        <v>0.69408808009805423</v>
      </c>
      <c r="Y96" s="17">
        <f t="shared" si="210"/>
        <v>-15.532344230811891</v>
      </c>
      <c r="Z96" s="17">
        <f t="shared" si="210"/>
        <v>6.4140205850233833</v>
      </c>
      <c r="AA96" s="17">
        <f t="shared" si="210"/>
        <v>2.8243042213326186</v>
      </c>
      <c r="AB96" s="17">
        <f t="shared" si="211"/>
        <v>2.6632848701051426</v>
      </c>
      <c r="AD96" s="17">
        <f t="shared" si="212"/>
        <v>4.0072157060439872</v>
      </c>
      <c r="AE96" s="17">
        <f t="shared" si="213"/>
        <v>3.8848111815946051</v>
      </c>
      <c r="AF96" s="17">
        <f t="shared" si="214"/>
        <v>6.506158233874948</v>
      </c>
      <c r="AH96" t="str">
        <f t="shared" si="247"/>
        <v>52 Skilled metal, electrical and electronic trades</v>
      </c>
      <c r="AI96" s="17">
        <f t="shared" si="215"/>
        <v>-0.64015500289752447</v>
      </c>
      <c r="AJ96" s="17">
        <f t="shared" si="215"/>
        <v>-10.335836439565693</v>
      </c>
      <c r="AK96" s="17">
        <f t="shared" si="215"/>
        <v>4.0517543423659763</v>
      </c>
      <c r="AL96" s="17">
        <f t="shared" si="215"/>
        <v>1.9893170831784657</v>
      </c>
      <c r="AM96" s="17">
        <f t="shared" si="216"/>
        <v>1.8065682750030954</v>
      </c>
      <c r="AO96" s="17">
        <f t="shared" si="217"/>
        <v>2.6722134513659013</v>
      </c>
      <c r="AP96" s="17">
        <f t="shared" si="218"/>
        <v>3.2344180060513761</v>
      </c>
      <c r="AQ96" s="17">
        <f t="shared" si="219"/>
        <v>5.0614075799627178</v>
      </c>
      <c r="AS96" t="str">
        <f t="shared" si="248"/>
        <v>52 Skilled metal, electrical and electronic trades</v>
      </c>
      <c r="AT96" s="17">
        <f t="shared" si="220"/>
        <v>-0.79169292311102035</v>
      </c>
      <c r="AU96" s="17">
        <f t="shared" si="220"/>
        <v>-11.367578988826665</v>
      </c>
      <c r="AV96" s="17">
        <f t="shared" si="220"/>
        <v>3.122124335836407</v>
      </c>
      <c r="AW96" s="17">
        <f t="shared" si="220"/>
        <v>1.8960823679316841</v>
      </c>
      <c r="AX96" s="17">
        <f t="shared" si="221"/>
        <v>1.3900695565326915</v>
      </c>
      <c r="AZ96" s="17">
        <f t="shared" si="222"/>
        <v>2.3031347739097985</v>
      </c>
      <c r="BA96" s="17">
        <f t="shared" si="223"/>
        <v>3.0882910661420127</v>
      </c>
      <c r="BB96" s="17">
        <f t="shared" si="224"/>
        <v>4.6777421470110658</v>
      </c>
      <c r="BD96" t="str">
        <f t="shared" si="249"/>
        <v>52 Skilled metal, electrical and electronic trades</v>
      </c>
      <c r="BE96" s="17">
        <f t="shared" si="225"/>
        <v>-0.42071654874250575</v>
      </c>
      <c r="BF96" s="17">
        <f t="shared" si="225"/>
        <v>-11.517026387295992</v>
      </c>
      <c r="BG96" s="17">
        <f t="shared" si="225"/>
        <v>6.2711111962165944E-2</v>
      </c>
      <c r="BH96" s="17">
        <f t="shared" si="225"/>
        <v>7.1350274995873875E-2</v>
      </c>
      <c r="BI96" s="17">
        <f t="shared" si="226"/>
        <v>-0.69813280688534318</v>
      </c>
      <c r="BK96" s="17">
        <f t="shared" si="227"/>
        <v>6.8470471111847786E-2</v>
      </c>
      <c r="BL96" s="17">
        <f t="shared" si="228"/>
        <v>1.9731207856006794</v>
      </c>
      <c r="BM96" s="17">
        <f t="shared" si="229"/>
        <v>2.0252679627978498</v>
      </c>
      <c r="BO96" t="str">
        <f t="shared" si="250"/>
        <v>52 Skilled metal, electrical and electronic trades</v>
      </c>
      <c r="BP96" s="17">
        <f t="shared" si="230"/>
        <v>-3.5480100977367979</v>
      </c>
      <c r="BQ96" s="17">
        <f t="shared" si="230"/>
        <v>-2.9874561556324175</v>
      </c>
      <c r="BR96" s="17">
        <f t="shared" si="230"/>
        <v>-3.279406478039204</v>
      </c>
      <c r="BS96" s="17">
        <f t="shared" si="230"/>
        <v>-2.8478055432148208</v>
      </c>
      <c r="BT96" s="17">
        <f t="shared" si="231"/>
        <v>-2.9916092278572282</v>
      </c>
      <c r="BV96" s="17">
        <f t="shared" si="232"/>
        <v>-2.9918860930173263</v>
      </c>
      <c r="BW96" s="17">
        <f t="shared" si="233"/>
        <v>1.8302690738672966</v>
      </c>
      <c r="BX96" s="17">
        <f t="shared" si="234"/>
        <v>-0.36442031904762029</v>
      </c>
      <c r="BZ96" t="str">
        <f t="shared" si="251"/>
        <v>52 Skilled metal, electrical and electronic trades</v>
      </c>
      <c r="CA96" s="17">
        <f t="shared" si="235"/>
        <v>3.3201851739121047</v>
      </c>
      <c r="CB96" s="17">
        <f t="shared" si="235"/>
        <v>-21.285739781450363</v>
      </c>
      <c r="CC96" s="17">
        <f t="shared" si="235"/>
        <v>-1.862445248339395</v>
      </c>
      <c r="CD96" s="17">
        <f t="shared" si="235"/>
        <v>-5.4003719892004254</v>
      </c>
      <c r="CE96" s="17">
        <f t="shared" si="236"/>
        <v>-5.4018285435403541</v>
      </c>
      <c r="CG96" s="17">
        <f t="shared" si="237"/>
        <v>-4.2354666679946584</v>
      </c>
      <c r="CH96" s="17">
        <f t="shared" si="238"/>
        <v>1.6137300217867523</v>
      </c>
      <c r="CI96" s="17">
        <f t="shared" si="239"/>
        <v>-1.5269431440442571</v>
      </c>
      <c r="CK96" t="str">
        <f t="shared" si="252"/>
        <v>52 Skilled metal, electrical and electronic trades</v>
      </c>
      <c r="CL96" s="17">
        <f t="shared" si="240"/>
        <v>1.9249550274811789</v>
      </c>
      <c r="CM96" s="17">
        <f t="shared" si="240"/>
        <v>22.707868764994199</v>
      </c>
      <c r="CN96" s="17">
        <f t="shared" si="240"/>
        <v>-6.8053274237010246</v>
      </c>
      <c r="CO96" s="17">
        <f t="shared" si="240"/>
        <v>-7.1663827273275693</v>
      </c>
      <c r="CP96" s="17">
        <f t="shared" si="241"/>
        <v>-5.418752886557165</v>
      </c>
      <c r="CR96" s="17">
        <f t="shared" si="242"/>
        <v>-7.0461866501652093</v>
      </c>
      <c r="CS96" s="17">
        <f t="shared" si="243"/>
        <v>1.2069456081255758</v>
      </c>
      <c r="CT96" s="17">
        <f t="shared" si="244"/>
        <v>-4.1277213802114021</v>
      </c>
    </row>
    <row r="97" spans="1:98" x14ac:dyDescent="0.2">
      <c r="A97" t="str">
        <f t="shared" si="199"/>
        <v>53 Skilled construction and building trades</v>
      </c>
      <c r="B97" s="17">
        <f t="shared" si="200"/>
        <v>-6.3958192212966836</v>
      </c>
      <c r="C97" s="17">
        <f t="shared" si="200"/>
        <v>-34.499349889746469</v>
      </c>
      <c r="D97" s="17">
        <f t="shared" si="200"/>
        <v>15.958229145958036</v>
      </c>
      <c r="E97" s="17">
        <f t="shared" si="200"/>
        <v>2.4633667571281936</v>
      </c>
      <c r="F97" s="17">
        <f t="shared" si="201"/>
        <v>3.5654702179600539</v>
      </c>
      <c r="H97" s="17">
        <f t="shared" si="202"/>
        <v>6.7774649975158807</v>
      </c>
      <c r="I97" s="17">
        <f t="shared" si="203"/>
        <v>4.4503176123853239</v>
      </c>
      <c r="J97" s="17">
        <f t="shared" si="204"/>
        <v>8.9061629627678496</v>
      </c>
      <c r="L97" t="str">
        <f t="shared" si="245"/>
        <v>53 Skilled construction and building trades</v>
      </c>
      <c r="M97" s="17">
        <f t="shared" si="205"/>
        <v>4.7984664860722948</v>
      </c>
      <c r="N97" s="17">
        <f t="shared" si="205"/>
        <v>-26.872505059505247</v>
      </c>
      <c r="O97" s="17">
        <f t="shared" si="205"/>
        <v>11.537600803361748</v>
      </c>
      <c r="P97" s="17">
        <f t="shared" si="205"/>
        <v>4.1109802400211004</v>
      </c>
      <c r="Q97" s="17">
        <f t="shared" si="206"/>
        <v>4.054180695963705</v>
      </c>
      <c r="S97" s="17">
        <f t="shared" si="207"/>
        <v>6.5298845874374845</v>
      </c>
      <c r="T97" s="17">
        <f t="shared" si="208"/>
        <v>4.3911847881364929</v>
      </c>
      <c r="U97" s="17">
        <f t="shared" si="209"/>
        <v>8.6854588843497069</v>
      </c>
      <c r="W97" t="str">
        <f t="shared" si="246"/>
        <v>53 Skilled construction and building trades</v>
      </c>
      <c r="X97" s="17">
        <f t="shared" si="210"/>
        <v>-1.8228023263582083</v>
      </c>
      <c r="Y97" s="17">
        <f t="shared" si="210"/>
        <v>-18.4227437109733</v>
      </c>
      <c r="Z97" s="17">
        <f t="shared" si="210"/>
        <v>7.311970402194512</v>
      </c>
      <c r="AA97" s="17">
        <f t="shared" si="210"/>
        <v>2.0319312167596637</v>
      </c>
      <c r="AB97" s="17">
        <f t="shared" si="211"/>
        <v>2.2140715387354737</v>
      </c>
      <c r="AD97" s="17">
        <f t="shared" si="212"/>
        <v>3.7624285104459476</v>
      </c>
      <c r="AE97" s="17">
        <f t="shared" si="213"/>
        <v>3.9098365061317253</v>
      </c>
      <c r="AF97" s="17">
        <f t="shared" si="214"/>
        <v>6.349541728005148</v>
      </c>
      <c r="AH97" t="str">
        <f t="shared" si="247"/>
        <v>53 Skilled construction and building trades</v>
      </c>
      <c r="AI97" s="17">
        <f t="shared" si="215"/>
        <v>3.0140933964314165</v>
      </c>
      <c r="AJ97" s="17">
        <f t="shared" si="215"/>
        <v>-21.614841801361262</v>
      </c>
      <c r="AK97" s="17">
        <f t="shared" si="215"/>
        <v>7.3801446226093192</v>
      </c>
      <c r="AL97" s="17">
        <f t="shared" si="215"/>
        <v>2.32196486430718</v>
      </c>
      <c r="AM97" s="17">
        <f t="shared" si="216"/>
        <v>2.1607104897709561</v>
      </c>
      <c r="AO97" s="17">
        <f t="shared" si="217"/>
        <v>3.9809806535270553</v>
      </c>
      <c r="AP97" s="17">
        <f t="shared" si="218"/>
        <v>4.2410982233712424</v>
      </c>
      <c r="AQ97" s="17">
        <f t="shared" si="219"/>
        <v>6.7411872507671999</v>
      </c>
      <c r="AS97" t="str">
        <f t="shared" si="248"/>
        <v>53 Skilled construction and building trades</v>
      </c>
      <c r="AT97" s="17">
        <f t="shared" si="220"/>
        <v>0.13268167672846332</v>
      </c>
      <c r="AU97" s="17">
        <f t="shared" si="220"/>
        <v>-18.47226289333922</v>
      </c>
      <c r="AV97" s="17">
        <f t="shared" si="220"/>
        <v>7.8546889319753399</v>
      </c>
      <c r="AW97" s="17">
        <f t="shared" si="220"/>
        <v>1.9287751105882212</v>
      </c>
      <c r="AX97" s="17">
        <f t="shared" si="221"/>
        <v>2.306749660751195</v>
      </c>
      <c r="AZ97" s="17">
        <f t="shared" si="222"/>
        <v>3.866990198275011</v>
      </c>
      <c r="BA97" s="17">
        <f t="shared" si="223"/>
        <v>4.2564735995150871</v>
      </c>
      <c r="BB97" s="17">
        <f t="shared" si="224"/>
        <v>6.6735459729762692</v>
      </c>
      <c r="BD97" t="str">
        <f t="shared" si="249"/>
        <v>53 Skilled construction and building trades</v>
      </c>
      <c r="BE97" s="17">
        <f t="shared" si="225"/>
        <v>-0.14882700226062084</v>
      </c>
      <c r="BF97" s="17">
        <f t="shared" si="225"/>
        <v>-23.032881863753818</v>
      </c>
      <c r="BG97" s="17">
        <f t="shared" si="225"/>
        <v>2.0973755596970456</v>
      </c>
      <c r="BH97" s="17">
        <f t="shared" si="225"/>
        <v>-2.8710647964413916E-2</v>
      </c>
      <c r="BI97" s="17">
        <f t="shared" si="226"/>
        <v>-1.0004567891105487</v>
      </c>
      <c r="BK97" s="17">
        <f t="shared" si="227"/>
        <v>0.67501934948124287</v>
      </c>
      <c r="BL97" s="17">
        <f t="shared" si="228"/>
        <v>2.3000293119369353</v>
      </c>
      <c r="BM97" s="17">
        <f t="shared" si="229"/>
        <v>2.7975893314568623</v>
      </c>
      <c r="BO97" t="str">
        <f t="shared" si="250"/>
        <v>53 Skilled construction and building trades</v>
      </c>
      <c r="BP97" s="17">
        <f t="shared" si="230"/>
        <v>-0.30768452320459883</v>
      </c>
      <c r="BQ97" s="17">
        <f t="shared" si="230"/>
        <v>-13.222281377181222</v>
      </c>
      <c r="BR97" s="17">
        <f t="shared" si="230"/>
        <v>1.4013683980929503</v>
      </c>
      <c r="BS97" s="17">
        <f t="shared" si="230"/>
        <v>-0.23121052321077862</v>
      </c>
      <c r="BT97" s="17">
        <f t="shared" si="231"/>
        <v>-0.59438970607909036</v>
      </c>
      <c r="BV97" s="17">
        <f t="shared" si="232"/>
        <v>0.31004082139804989</v>
      </c>
      <c r="BW97" s="17">
        <f t="shared" si="233"/>
        <v>2.7801246306628169</v>
      </c>
      <c r="BX97" s="17">
        <f t="shared" si="234"/>
        <v>2.9928589055234767</v>
      </c>
      <c r="BZ97" t="str">
        <f t="shared" si="251"/>
        <v>53 Skilled construction and building trades</v>
      </c>
      <c r="CA97" s="17">
        <f t="shared" si="235"/>
        <v>5.7105888808286709</v>
      </c>
      <c r="CB97" s="17">
        <f t="shared" si="235"/>
        <v>-29.417510167153715</v>
      </c>
      <c r="CC97" s="17">
        <f t="shared" si="235"/>
        <v>1.7316678503478178</v>
      </c>
      <c r="CD97" s="17">
        <f t="shared" si="235"/>
        <v>0.57918036902955272</v>
      </c>
      <c r="CE97" s="17">
        <f t="shared" si="236"/>
        <v>-1.2718111681458866</v>
      </c>
      <c r="CG97" s="17">
        <f t="shared" si="237"/>
        <v>0.96188482285517463</v>
      </c>
      <c r="CH97" s="17">
        <f t="shared" si="238"/>
        <v>2.2910395620898472</v>
      </c>
      <c r="CI97" s="17">
        <f t="shared" si="239"/>
        <v>3.0047730324903155</v>
      </c>
      <c r="CK97" t="str">
        <f t="shared" si="252"/>
        <v>53 Skilled construction and building trades</v>
      </c>
      <c r="CL97" s="17">
        <f t="shared" si="240"/>
        <v>2.5827521419050425</v>
      </c>
      <c r="CM97" s="17">
        <f t="shared" si="240"/>
        <v>13.527227256722863</v>
      </c>
      <c r="CN97" s="17">
        <f t="shared" si="240"/>
        <v>-8.617965451397481</v>
      </c>
      <c r="CO97" s="17">
        <f t="shared" si="240"/>
        <v>-10.233980228503814</v>
      </c>
      <c r="CP97" s="17">
        <f t="shared" si="241"/>
        <v>-8.3974128410566955</v>
      </c>
      <c r="CR97" s="17">
        <f t="shared" si="242"/>
        <v>-9.6985091721957453</v>
      </c>
      <c r="CS97" s="17">
        <f t="shared" si="243"/>
        <v>1.0048987107353469</v>
      </c>
      <c r="CT97" s="17">
        <f t="shared" si="244"/>
        <v>-6.274985163620439</v>
      </c>
    </row>
    <row r="98" spans="1:98" x14ac:dyDescent="0.2">
      <c r="A98" t="str">
        <f t="shared" si="199"/>
        <v>54 Textiles, printing and other skilled trades</v>
      </c>
      <c r="B98" s="17">
        <f t="shared" si="200"/>
        <v>4.2505660919421651</v>
      </c>
      <c r="C98" s="17">
        <f t="shared" si="200"/>
        <v>-13.095186019915428</v>
      </c>
      <c r="D98" s="17">
        <f t="shared" si="200"/>
        <v>8.558806215614112</v>
      </c>
      <c r="E98" s="17">
        <f t="shared" si="200"/>
        <v>5.0782905205882134</v>
      </c>
      <c r="F98" s="17">
        <f t="shared" si="201"/>
        <v>4.9013783881517226</v>
      </c>
      <c r="H98" s="17">
        <f t="shared" si="202"/>
        <v>6.2258835680270019</v>
      </c>
      <c r="I98" s="17">
        <f t="shared" si="203"/>
        <v>4.3241936459905483</v>
      </c>
      <c r="J98" s="17">
        <f t="shared" si="204"/>
        <v>8.4178436527158276</v>
      </c>
      <c r="L98" t="str">
        <f t="shared" si="245"/>
        <v>54 Textiles, printing and other skilled trades</v>
      </c>
      <c r="M98" s="17">
        <f t="shared" si="205"/>
        <v>8.889400749062947</v>
      </c>
      <c r="N98" s="17">
        <f t="shared" si="205"/>
        <v>0.81335467982981413</v>
      </c>
      <c r="O98" s="17">
        <f t="shared" si="205"/>
        <v>7.9937327953736537</v>
      </c>
      <c r="P98" s="17">
        <f t="shared" si="205"/>
        <v>4.9321281980348353</v>
      </c>
      <c r="Q98" s="17">
        <f t="shared" si="206"/>
        <v>5.6147870325814697</v>
      </c>
      <c r="S98" s="17">
        <f t="shared" si="207"/>
        <v>5.942895503199197</v>
      </c>
      <c r="T98" s="17">
        <f t="shared" si="208"/>
        <v>4.6434795828993458</v>
      </c>
      <c r="U98" s="17">
        <f t="shared" si="209"/>
        <v>8.3994531565850785</v>
      </c>
      <c r="W98" t="str">
        <f t="shared" si="246"/>
        <v>54 Textiles, printing and other skilled trades</v>
      </c>
      <c r="X98" s="17">
        <f t="shared" si="210"/>
        <v>-0.53604461914755763</v>
      </c>
      <c r="Y98" s="17">
        <f t="shared" si="210"/>
        <v>1.4515088669153409</v>
      </c>
      <c r="Z98" s="17">
        <f t="shared" si="210"/>
        <v>4.9539048806483743</v>
      </c>
      <c r="AA98" s="17">
        <f t="shared" si="210"/>
        <v>1.4496138717812856</v>
      </c>
      <c r="AB98" s="17">
        <f t="shared" si="211"/>
        <v>2.5320684682964778</v>
      </c>
      <c r="AD98" s="17">
        <f t="shared" si="212"/>
        <v>2.604513636179373</v>
      </c>
      <c r="AE98" s="17">
        <f t="shared" si="213"/>
        <v>3.877599270020049</v>
      </c>
      <c r="AF98" s="17">
        <f t="shared" si="214"/>
        <v>5.5237236389015232</v>
      </c>
      <c r="AH98" t="str">
        <f t="shared" si="247"/>
        <v>54 Textiles, printing and other skilled trades</v>
      </c>
      <c r="AI98" s="17">
        <f t="shared" si="215"/>
        <v>-3.1699277083809374</v>
      </c>
      <c r="AJ98" s="17">
        <f t="shared" si="215"/>
        <v>19.065123392700013</v>
      </c>
      <c r="AK98" s="17">
        <f t="shared" si="215"/>
        <v>3.4075258751207427</v>
      </c>
      <c r="AL98" s="17">
        <f t="shared" si="215"/>
        <v>2.5822954633875073</v>
      </c>
      <c r="AM98" s="17">
        <f t="shared" si="216"/>
        <v>3.8016697324835036</v>
      </c>
      <c r="AO98" s="17">
        <f t="shared" si="217"/>
        <v>2.856637921491223</v>
      </c>
      <c r="AP98" s="17">
        <f t="shared" si="218"/>
        <v>3.9886301629571408</v>
      </c>
      <c r="AQ98" s="17">
        <f t="shared" si="219"/>
        <v>5.7822006552606942</v>
      </c>
      <c r="AS98" t="str">
        <f t="shared" si="248"/>
        <v>54 Textiles, printing and other skilled trades</v>
      </c>
      <c r="AT98" s="17">
        <f t="shared" si="220"/>
        <v>-2.2354798467558723</v>
      </c>
      <c r="AU98" s="17">
        <f t="shared" si="220"/>
        <v>9.0414035729560425</v>
      </c>
      <c r="AV98" s="17">
        <f t="shared" si="220"/>
        <v>4.4529176162036554</v>
      </c>
      <c r="AW98" s="17">
        <f t="shared" si="220"/>
        <v>-0.2432246885761491</v>
      </c>
      <c r="AX98" s="17">
        <f t="shared" si="221"/>
        <v>1.7656346932278355</v>
      </c>
      <c r="AZ98" s="17">
        <f t="shared" si="222"/>
        <v>1.2982151014750754</v>
      </c>
      <c r="BA98" s="17">
        <f t="shared" si="223"/>
        <v>3.7369444533352114</v>
      </c>
      <c r="BB98" s="17">
        <f t="shared" si="224"/>
        <v>4.543047010956025</v>
      </c>
      <c r="BD98" t="str">
        <f t="shared" si="249"/>
        <v>54 Textiles, printing and other skilled trades</v>
      </c>
      <c r="BE98" s="17">
        <f t="shared" si="225"/>
        <v>-0.74651542637969026</v>
      </c>
      <c r="BF98" s="17">
        <f t="shared" si="225"/>
        <v>-12.572416221023131</v>
      </c>
      <c r="BG98" s="17">
        <f t="shared" si="225"/>
        <v>1.8090337096369424</v>
      </c>
      <c r="BH98" s="17">
        <f t="shared" si="225"/>
        <v>-1.8696548600649621E-3</v>
      </c>
      <c r="BI98" s="17">
        <f t="shared" si="226"/>
        <v>-0.28025060410431513</v>
      </c>
      <c r="BK98" s="17">
        <f t="shared" si="227"/>
        <v>0.59815720904690117</v>
      </c>
      <c r="BL98" s="17">
        <f t="shared" si="228"/>
        <v>2.4256469439091655</v>
      </c>
      <c r="BM98" s="17">
        <f t="shared" si="229"/>
        <v>2.8586304705012333</v>
      </c>
      <c r="BO98" t="str">
        <f t="shared" si="250"/>
        <v>54 Textiles, printing and other skilled trades</v>
      </c>
      <c r="BP98" s="17">
        <f t="shared" si="230"/>
        <v>-4.3749828252882423</v>
      </c>
      <c r="BQ98" s="17">
        <f t="shared" si="230"/>
        <v>3.0083980689887824E-2</v>
      </c>
      <c r="BR98" s="17">
        <f t="shared" si="230"/>
        <v>-2.3691626771783603</v>
      </c>
      <c r="BS98" s="17">
        <f t="shared" si="230"/>
        <v>-1.6315919628023812</v>
      </c>
      <c r="BT98" s="17">
        <f t="shared" si="231"/>
        <v>-1.7598802184151774</v>
      </c>
      <c r="BV98" s="17">
        <f t="shared" si="232"/>
        <v>-1.8780659221499074</v>
      </c>
      <c r="BW98" s="17">
        <f t="shared" si="233"/>
        <v>2.004166804630203</v>
      </c>
      <c r="BX98" s="17">
        <f t="shared" si="234"/>
        <v>0.63234338901174691</v>
      </c>
      <c r="BZ98" t="str">
        <f t="shared" si="251"/>
        <v>54 Textiles, printing and other skilled trades</v>
      </c>
      <c r="CA98" s="17">
        <f t="shared" si="235"/>
        <v>2.3942344227572576</v>
      </c>
      <c r="CB98" s="17">
        <f t="shared" si="235"/>
        <v>-7.4759699676466003</v>
      </c>
      <c r="CC98" s="17">
        <f t="shared" si="235"/>
        <v>-0.84999700345252949</v>
      </c>
      <c r="CD98" s="17">
        <f t="shared" si="235"/>
        <v>-2.8942206237191681</v>
      </c>
      <c r="CE98" s="17">
        <f t="shared" si="236"/>
        <v>-2.5547753030664255</v>
      </c>
      <c r="CG98" s="17">
        <f t="shared" si="237"/>
        <v>-2.2175391572122227</v>
      </c>
      <c r="CH98" s="17">
        <f t="shared" si="238"/>
        <v>1.8129186520164264</v>
      </c>
      <c r="CI98" s="17">
        <f t="shared" si="239"/>
        <v>0.15607050699226743</v>
      </c>
      <c r="CK98" t="str">
        <f t="shared" si="252"/>
        <v>54 Textiles, printing and other skilled trades</v>
      </c>
      <c r="CL98" s="17">
        <f t="shared" si="240"/>
        <v>-2.9340563241519679</v>
      </c>
      <c r="CM98" s="17">
        <f t="shared" si="240"/>
        <v>23.346305549837453</v>
      </c>
      <c r="CN98" s="17">
        <f t="shared" si="240"/>
        <v>-10.808907477543595</v>
      </c>
      <c r="CO98" s="17">
        <f t="shared" si="240"/>
        <v>-5.7719789459532711</v>
      </c>
      <c r="CP98" s="17">
        <f t="shared" si="241"/>
        <v>-5.8037981330052109</v>
      </c>
      <c r="CR98" s="17">
        <f t="shared" si="242"/>
        <v>-7.4817928835628988</v>
      </c>
      <c r="CS98" s="17">
        <f t="shared" si="243"/>
        <v>1.0665989142558452</v>
      </c>
      <c r="CT98" s="17">
        <f t="shared" si="244"/>
        <v>-4.7230474188176164</v>
      </c>
    </row>
    <row r="99" spans="1:98" x14ac:dyDescent="0.2">
      <c r="A99" t="str">
        <f t="shared" si="199"/>
        <v>61 Caring personal service occupations</v>
      </c>
      <c r="B99" s="17">
        <f t="shared" si="200"/>
        <v>4.1276846851417526</v>
      </c>
      <c r="C99" s="17">
        <f t="shared" si="200"/>
        <v>-4.6649901360631958</v>
      </c>
      <c r="D99" s="17">
        <f t="shared" si="200"/>
        <v>7.7676897570119197</v>
      </c>
      <c r="E99" s="17">
        <f t="shared" si="200"/>
        <v>5.5571865948555121</v>
      </c>
      <c r="F99" s="17">
        <f t="shared" si="201"/>
        <v>5.5688605548166015</v>
      </c>
      <c r="H99" s="17">
        <f t="shared" si="202"/>
        <v>6.2889365785391949</v>
      </c>
      <c r="I99" s="17">
        <f t="shared" si="203"/>
        <v>4.6744742253785221</v>
      </c>
      <c r="J99" s="17">
        <f t="shared" si="204"/>
        <v>8.6704836272655896</v>
      </c>
      <c r="L99" t="str">
        <f t="shared" si="245"/>
        <v>61 Caring personal service occupations</v>
      </c>
      <c r="M99" s="17">
        <f t="shared" si="205"/>
        <v>4.7895102670249212</v>
      </c>
      <c r="N99" s="17">
        <f t="shared" si="205"/>
        <v>2.0554263894101421</v>
      </c>
      <c r="O99" s="17">
        <f t="shared" si="205"/>
        <v>7.4179745370246852</v>
      </c>
      <c r="P99" s="17">
        <f t="shared" si="205"/>
        <v>5.3668178433264435</v>
      </c>
      <c r="Q99" s="17">
        <f t="shared" si="206"/>
        <v>5.7922176900857547</v>
      </c>
      <c r="S99" s="17">
        <f t="shared" si="207"/>
        <v>6.0461474982704377</v>
      </c>
      <c r="T99" s="17">
        <f t="shared" si="208"/>
        <v>4.8328924600124834</v>
      </c>
      <c r="U99" s="17">
        <f t="shared" si="209"/>
        <v>8.589608737003406</v>
      </c>
      <c r="W99" t="str">
        <f t="shared" si="246"/>
        <v>61 Caring personal service occupations</v>
      </c>
      <c r="X99" s="17">
        <f t="shared" si="210"/>
        <v>-0.83090621110969431</v>
      </c>
      <c r="Y99" s="17">
        <f t="shared" si="210"/>
        <v>8.0492880877595319</v>
      </c>
      <c r="Z99" s="17">
        <f t="shared" si="210"/>
        <v>4.0558687979434183</v>
      </c>
      <c r="AA99" s="17">
        <f t="shared" si="210"/>
        <v>2.0436349826937317</v>
      </c>
      <c r="AB99" s="17">
        <f t="shared" si="211"/>
        <v>3.0358541946658324</v>
      </c>
      <c r="AD99" s="17">
        <f t="shared" si="212"/>
        <v>2.7100183802032163</v>
      </c>
      <c r="AE99" s="17">
        <f t="shared" si="213"/>
        <v>4.2910254308911044</v>
      </c>
      <c r="AF99" s="17">
        <f t="shared" si="214"/>
        <v>5.9257233704382184</v>
      </c>
      <c r="AH99" t="str">
        <f t="shared" si="247"/>
        <v>61 Caring personal service occupations</v>
      </c>
      <c r="AI99" s="17">
        <f t="shared" si="215"/>
        <v>-4.2110292317281584</v>
      </c>
      <c r="AJ99" s="17">
        <f t="shared" si="215"/>
        <v>7.710174428136507</v>
      </c>
      <c r="AK99" s="17">
        <f t="shared" si="215"/>
        <v>1.8332237911518057</v>
      </c>
      <c r="AL99" s="17">
        <f t="shared" si="215"/>
        <v>0.62189875451976739</v>
      </c>
      <c r="AM99" s="17">
        <f t="shared" si="216"/>
        <v>1.4295105324559909</v>
      </c>
      <c r="AO99" s="17">
        <f t="shared" si="217"/>
        <v>1.0240642506592845</v>
      </c>
      <c r="AP99" s="17">
        <f t="shared" si="218"/>
        <v>3.5144285435034561</v>
      </c>
      <c r="AQ99" s="17">
        <f t="shared" si="219"/>
        <v>4.1638660306526187</v>
      </c>
      <c r="AS99" t="str">
        <f t="shared" si="248"/>
        <v>61 Caring personal service occupations</v>
      </c>
      <c r="AT99" s="17">
        <f t="shared" si="220"/>
        <v>-1.9347322025711433</v>
      </c>
      <c r="AU99" s="17">
        <f t="shared" si="220"/>
        <v>11.968065377173364</v>
      </c>
      <c r="AV99" s="17">
        <f t="shared" si="220"/>
        <v>2.4957280701831674</v>
      </c>
      <c r="AW99" s="17">
        <f t="shared" si="220"/>
        <v>1.2586864375292439</v>
      </c>
      <c r="AX99" s="17">
        <f t="shared" si="221"/>
        <v>2.2843331703162439</v>
      </c>
      <c r="AZ99" s="17">
        <f t="shared" si="222"/>
        <v>1.6693657861892808</v>
      </c>
      <c r="BA99" s="17">
        <f t="shared" si="223"/>
        <v>3.767052940780502</v>
      </c>
      <c r="BB99" s="17">
        <f t="shared" si="224"/>
        <v>4.8102011722311655</v>
      </c>
      <c r="BD99" t="str">
        <f t="shared" si="249"/>
        <v>61 Caring personal service occupations</v>
      </c>
      <c r="BE99" s="17">
        <f t="shared" si="225"/>
        <v>3.3984779052882885</v>
      </c>
      <c r="BF99" s="17">
        <f t="shared" si="225"/>
        <v>-5.6167462727953588</v>
      </c>
      <c r="BG99" s="17">
        <f t="shared" si="225"/>
        <v>2.9090618923625078</v>
      </c>
      <c r="BH99" s="17">
        <f t="shared" si="225"/>
        <v>1.8103912845744752</v>
      </c>
      <c r="BI99" s="17">
        <f t="shared" si="226"/>
        <v>1.669984341580899</v>
      </c>
      <c r="BK99" s="17">
        <f t="shared" si="227"/>
        <v>2.1753053142439693</v>
      </c>
      <c r="BL99" s="17">
        <f t="shared" si="228"/>
        <v>3.4087338872986761</v>
      </c>
      <c r="BM99" s="17">
        <f t="shared" si="229"/>
        <v>4.848242623872534</v>
      </c>
      <c r="BO99" t="str">
        <f t="shared" si="250"/>
        <v>61 Caring personal service occupations</v>
      </c>
      <c r="BP99" s="17">
        <f t="shared" si="230"/>
        <v>-1.5090992003533477</v>
      </c>
      <c r="BQ99" s="17">
        <f t="shared" si="230"/>
        <v>-15.545581149945253</v>
      </c>
      <c r="BR99" s="17">
        <f t="shared" si="230"/>
        <v>-0.81587349025035172</v>
      </c>
      <c r="BS99" s="17">
        <f t="shared" si="230"/>
        <v>-2.7645347563485911</v>
      </c>
      <c r="BT99" s="17">
        <f t="shared" si="231"/>
        <v>-3.0176925200464</v>
      </c>
      <c r="BV99" s="17">
        <f t="shared" si="232"/>
        <v>-2.1192724846007649</v>
      </c>
      <c r="BW99" s="17">
        <f t="shared" si="233"/>
        <v>2.5176465858778085</v>
      </c>
      <c r="BX99" s="17">
        <f t="shared" si="234"/>
        <v>1.0937727285682097</v>
      </c>
      <c r="BZ99" t="str">
        <f t="shared" si="251"/>
        <v>61 Caring personal service occupations</v>
      </c>
      <c r="CA99" s="17">
        <f t="shared" si="235"/>
        <v>-10.235732239640482</v>
      </c>
      <c r="CB99" s="17">
        <f t="shared" si="235"/>
        <v>-10.211109693348941</v>
      </c>
      <c r="CC99" s="17">
        <f t="shared" si="235"/>
        <v>-6.2363403353296043</v>
      </c>
      <c r="CD99" s="17">
        <f t="shared" si="235"/>
        <v>-0.14997434714670854</v>
      </c>
      <c r="CE99" s="17">
        <f t="shared" si="236"/>
        <v>-2.7409949253620947</v>
      </c>
      <c r="CG99" s="17">
        <f t="shared" si="237"/>
        <v>-2.2214399815535968</v>
      </c>
      <c r="CH99" s="17">
        <f t="shared" si="238"/>
        <v>1.3603598524446037</v>
      </c>
      <c r="CI99" s="17">
        <f t="shared" si="239"/>
        <v>-0.42149928760658595</v>
      </c>
      <c r="CK99" t="str">
        <f t="shared" si="252"/>
        <v>61 Caring personal service occupations</v>
      </c>
      <c r="CL99" s="17">
        <f t="shared" si="240"/>
        <v>-6.1599806611181807</v>
      </c>
      <c r="CM99" s="17">
        <f t="shared" si="240"/>
        <v>22.254135875515303</v>
      </c>
      <c r="CN99" s="17">
        <f t="shared" si="240"/>
        <v>1.0679094421857105</v>
      </c>
      <c r="CO99" s="17">
        <f t="shared" si="240"/>
        <v>1.2843547819739065</v>
      </c>
      <c r="CP99" s="17">
        <f t="shared" si="241"/>
        <v>2.4140644198986427</v>
      </c>
      <c r="CR99" s="17">
        <f t="shared" si="242"/>
        <v>1.2121548803711857</v>
      </c>
      <c r="CS99" s="17">
        <f t="shared" si="243"/>
        <v>2.1292541088113293</v>
      </c>
      <c r="CT99" s="17">
        <f t="shared" si="244"/>
        <v>3.0518382901329133</v>
      </c>
    </row>
    <row r="100" spans="1:98" x14ac:dyDescent="0.2">
      <c r="A100" t="str">
        <f t="shared" si="199"/>
        <v>62 Leisure, travel and related personal service occupations</v>
      </c>
      <c r="B100" s="17">
        <f t="shared" si="200"/>
        <v>20.405305112881411</v>
      </c>
      <c r="C100" s="17">
        <f t="shared" si="200"/>
        <v>3.3662352605539736</v>
      </c>
      <c r="D100" s="17">
        <f t="shared" si="200"/>
        <v>7.8842958193380275</v>
      </c>
      <c r="E100" s="17">
        <f t="shared" si="200"/>
        <v>4.8466716481845973</v>
      </c>
      <c r="F100" s="17">
        <f t="shared" si="201"/>
        <v>5.6926461523660876</v>
      </c>
      <c r="H100" s="17">
        <f t="shared" si="202"/>
        <v>5.8495889817080871</v>
      </c>
      <c r="I100" s="17">
        <f t="shared" si="203"/>
        <v>4.7554570471106672</v>
      </c>
      <c r="J100" s="17">
        <f t="shared" si="204"/>
        <v>8.4010382667233827</v>
      </c>
      <c r="L100" t="str">
        <f t="shared" si="245"/>
        <v>62 Leisure, travel and related personal service occupations</v>
      </c>
      <c r="M100" s="17">
        <f t="shared" si="205"/>
        <v>5.3804020788926543</v>
      </c>
      <c r="N100" s="17">
        <f t="shared" si="205"/>
        <v>-10.114609979786115</v>
      </c>
      <c r="O100" s="17">
        <f t="shared" si="205"/>
        <v>8.1026733526354811</v>
      </c>
      <c r="P100" s="17">
        <f t="shared" si="205"/>
        <v>5.8714571971290264</v>
      </c>
      <c r="Q100" s="17">
        <f t="shared" si="206"/>
        <v>5.4790625981118835</v>
      </c>
      <c r="S100" s="17">
        <f t="shared" si="207"/>
        <v>6.61003153475479</v>
      </c>
      <c r="T100" s="17">
        <f t="shared" si="208"/>
        <v>4.7570960729961476</v>
      </c>
      <c r="U100" s="17">
        <f t="shared" si="209"/>
        <v>8.9548822269341688</v>
      </c>
      <c r="W100" t="str">
        <f t="shared" si="246"/>
        <v>62 Leisure, travel and related personal service occupations</v>
      </c>
      <c r="X100" s="17">
        <f t="shared" si="210"/>
        <v>3.6335716486726843</v>
      </c>
      <c r="Y100" s="17">
        <f t="shared" si="210"/>
        <v>-3.7845226815870991</v>
      </c>
      <c r="Z100" s="17">
        <f t="shared" si="210"/>
        <v>6.1509502298073171</v>
      </c>
      <c r="AA100" s="17">
        <f t="shared" si="210"/>
        <v>3.2301547228802407</v>
      </c>
      <c r="AB100" s="17">
        <f t="shared" si="211"/>
        <v>3.6771701076381946</v>
      </c>
      <c r="AD100" s="17">
        <f t="shared" si="212"/>
        <v>4.194712557350222</v>
      </c>
      <c r="AE100" s="17">
        <f t="shared" si="213"/>
        <v>4.5782368775389992</v>
      </c>
      <c r="AF100" s="17">
        <f t="shared" si="214"/>
        <v>7.1289223172594784</v>
      </c>
      <c r="AH100" t="str">
        <f t="shared" si="247"/>
        <v>62 Leisure, travel and related personal service occupations</v>
      </c>
      <c r="AI100" s="17">
        <f t="shared" si="215"/>
        <v>2.7566914985093893</v>
      </c>
      <c r="AJ100" s="17">
        <f t="shared" si="215"/>
        <v>-1.7149468468196538</v>
      </c>
      <c r="AK100" s="17">
        <f t="shared" si="215"/>
        <v>4.7693984539458611</v>
      </c>
      <c r="AL100" s="17">
        <f t="shared" si="215"/>
        <v>3.3160294113303568</v>
      </c>
      <c r="AM100" s="17">
        <f t="shared" si="216"/>
        <v>3.4447727954683316</v>
      </c>
      <c r="AO100" s="17">
        <f t="shared" si="217"/>
        <v>3.7982316963874219</v>
      </c>
      <c r="AP100" s="17">
        <f t="shared" si="218"/>
        <v>4.4487632462525184</v>
      </c>
      <c r="AQ100" s="17">
        <f t="shared" si="219"/>
        <v>6.7671736575630748</v>
      </c>
      <c r="AS100" t="str">
        <f t="shared" si="248"/>
        <v>62 Leisure, travel and related personal service occupations</v>
      </c>
      <c r="AT100" s="17">
        <f t="shared" si="220"/>
        <v>5.2464286368743451</v>
      </c>
      <c r="AU100" s="17">
        <f t="shared" si="220"/>
        <v>-1.8135549500788328</v>
      </c>
      <c r="AV100" s="17">
        <f t="shared" si="220"/>
        <v>5.3359911795633819</v>
      </c>
      <c r="AW100" s="17">
        <f t="shared" si="220"/>
        <v>3.6020473930139296</v>
      </c>
      <c r="AX100" s="17">
        <f t="shared" si="221"/>
        <v>3.7919515802994797</v>
      </c>
      <c r="AZ100" s="17">
        <f t="shared" si="222"/>
        <v>4.1768338299922769</v>
      </c>
      <c r="BA100" s="17">
        <f t="shared" si="223"/>
        <v>4.5604641564987336</v>
      </c>
      <c r="BB100" s="17">
        <f t="shared" si="224"/>
        <v>7.1041088613725822</v>
      </c>
      <c r="BD100" t="str">
        <f t="shared" si="249"/>
        <v>62 Leisure, travel and related personal service occupations</v>
      </c>
      <c r="BE100" s="17">
        <f t="shared" si="225"/>
        <v>2.5543541188265406</v>
      </c>
      <c r="BF100" s="17">
        <f t="shared" si="225"/>
        <v>-17.599518127745228</v>
      </c>
      <c r="BG100" s="17">
        <f t="shared" si="225"/>
        <v>1.0070780929613665</v>
      </c>
      <c r="BH100" s="17">
        <f t="shared" si="225"/>
        <v>0.12198482094396557</v>
      </c>
      <c r="BI100" s="17">
        <f t="shared" si="226"/>
        <v>-0.81717910507821401</v>
      </c>
      <c r="BK100" s="17">
        <f t="shared" si="227"/>
        <v>0.41615078333299138</v>
      </c>
      <c r="BL100" s="17">
        <f t="shared" si="228"/>
        <v>2.5410332759514542</v>
      </c>
      <c r="BM100" s="17">
        <f t="shared" si="229"/>
        <v>2.8365591120075306</v>
      </c>
      <c r="BO100" t="str">
        <f t="shared" si="250"/>
        <v>62 Leisure, travel and related personal service occupations</v>
      </c>
      <c r="BP100" s="17">
        <f t="shared" si="230"/>
        <v>0.47375175886072984</v>
      </c>
      <c r="BQ100" s="17">
        <f t="shared" si="230"/>
        <v>-17.883562861000936</v>
      </c>
      <c r="BR100" s="17">
        <f t="shared" si="230"/>
        <v>-1.2837133928253808</v>
      </c>
      <c r="BS100" s="17">
        <f t="shared" si="230"/>
        <v>-2.2297132800867314</v>
      </c>
      <c r="BT100" s="17">
        <f t="shared" si="231"/>
        <v>-2.998669815107724</v>
      </c>
      <c r="BV100" s="17">
        <f t="shared" si="232"/>
        <v>-1.9153915800823818</v>
      </c>
      <c r="BW100" s="17">
        <f t="shared" si="233"/>
        <v>2.4470881768234864</v>
      </c>
      <c r="BX100" s="17">
        <f t="shared" si="234"/>
        <v>1.1398429493690188</v>
      </c>
      <c r="BZ100" t="str">
        <f t="shared" si="251"/>
        <v>62 Leisure, travel and related personal service occupations</v>
      </c>
      <c r="CA100" s="17">
        <f t="shared" si="235"/>
        <v>7.1646464203177107</v>
      </c>
      <c r="CB100" s="17">
        <f t="shared" si="235"/>
        <v>-9.4860572210889167</v>
      </c>
      <c r="CC100" s="17">
        <f t="shared" si="235"/>
        <v>1.4393869068586973</v>
      </c>
      <c r="CD100" s="17">
        <f t="shared" si="235"/>
        <v>7.4563424247053867E-2</v>
      </c>
      <c r="CE100" s="17">
        <f t="shared" si="236"/>
        <v>-0.129643486524611</v>
      </c>
      <c r="CG100" s="17">
        <f t="shared" si="237"/>
        <v>0.52745194148680064</v>
      </c>
      <c r="CH100" s="17">
        <f t="shared" si="238"/>
        <v>2.3749407579852777</v>
      </c>
      <c r="CI100" s="17">
        <f t="shared" si="239"/>
        <v>2.7587743410468768</v>
      </c>
      <c r="CK100" t="str">
        <f t="shared" si="252"/>
        <v>62 Leisure, travel and related personal service occupations</v>
      </c>
      <c r="CL100" s="17">
        <f t="shared" si="240"/>
        <v>-3.7856304380143535</v>
      </c>
      <c r="CM100" s="17">
        <f t="shared" si="240"/>
        <v>11.755926911430304</v>
      </c>
      <c r="CN100" s="17">
        <f t="shared" si="240"/>
        <v>-5.8893526217478787</v>
      </c>
      <c r="CO100" s="17">
        <f t="shared" si="240"/>
        <v>-3.3448925424018006</v>
      </c>
      <c r="CP100" s="17">
        <f t="shared" si="241"/>
        <v>-3.2737105243407227</v>
      </c>
      <c r="CR100" s="17">
        <f t="shared" si="242"/>
        <v>-4.2005992863772263</v>
      </c>
      <c r="CS100" s="17">
        <f t="shared" si="243"/>
        <v>1.4688511293569073</v>
      </c>
      <c r="CT100" s="17">
        <f t="shared" si="244"/>
        <v>-1.7287776660202092</v>
      </c>
    </row>
    <row r="101" spans="1:98" x14ac:dyDescent="0.2">
      <c r="A101" t="str">
        <f t="shared" si="199"/>
        <v>63 Community and civil enforcement occupations</v>
      </c>
      <c r="B101" s="17">
        <f t="shared" si="200"/>
        <v>-0.71926238130257669</v>
      </c>
      <c r="C101" s="17">
        <f t="shared" si="200"/>
        <v>12.11164985700519</v>
      </c>
      <c r="D101" s="17">
        <f t="shared" si="200"/>
        <v>5.7954124105914939</v>
      </c>
      <c r="E101" s="17">
        <f t="shared" si="200"/>
        <v>5.0893424380822339</v>
      </c>
      <c r="F101" s="17">
        <f t="shared" si="201"/>
        <v>5.7360857788729014</v>
      </c>
      <c r="H101" s="17">
        <f t="shared" si="202"/>
        <v>5.3241739527392751</v>
      </c>
      <c r="I101" s="17">
        <f t="shared" si="203"/>
        <v>3.9977136263251722</v>
      </c>
      <c r="J101" s="17">
        <f t="shared" si="204"/>
        <v>7.5453662802120958</v>
      </c>
      <c r="L101" t="str">
        <f t="shared" si="245"/>
        <v>63 Community and civil enforcement occupations</v>
      </c>
      <c r="M101" s="17">
        <f t="shared" si="205"/>
        <v>-0.711008888632636</v>
      </c>
      <c r="N101" s="17">
        <f t="shared" si="205"/>
        <v>34.664760263927484</v>
      </c>
      <c r="O101" s="17">
        <f t="shared" si="205"/>
        <v>1.0653378984883277</v>
      </c>
      <c r="P101" s="17">
        <f t="shared" si="205"/>
        <v>5.1916378822949971</v>
      </c>
      <c r="Q101" s="17">
        <f t="shared" si="206"/>
        <v>5.5005760795050263</v>
      </c>
      <c r="S101" s="17">
        <f t="shared" si="207"/>
        <v>3.7978175948210735</v>
      </c>
      <c r="T101" s="17">
        <f t="shared" si="208"/>
        <v>3.3493045381720155</v>
      </c>
      <c r="U101" s="17">
        <f t="shared" si="209"/>
        <v>5.9755063254784524</v>
      </c>
      <c r="W101" t="str">
        <f t="shared" si="246"/>
        <v>63 Community and civil enforcement occupations</v>
      </c>
      <c r="X101" s="17">
        <f t="shared" si="210"/>
        <v>-1.0794505289615564</v>
      </c>
      <c r="Y101" s="17">
        <f t="shared" si="210"/>
        <v>17.333189531930881</v>
      </c>
      <c r="Z101" s="17">
        <f t="shared" si="210"/>
        <v>2.1512693954143236</v>
      </c>
      <c r="AA101" s="17">
        <f t="shared" si="210"/>
        <v>1.6239505977720725</v>
      </c>
      <c r="AB101" s="17">
        <f t="shared" si="211"/>
        <v>2.7069963301854072</v>
      </c>
      <c r="AD101" s="17">
        <f t="shared" si="212"/>
        <v>1.7994203796818597</v>
      </c>
      <c r="AE101" s="17">
        <f t="shared" si="213"/>
        <v>3.8339544359992095</v>
      </c>
      <c r="AF101" s="17">
        <f t="shared" si="214"/>
        <v>4.9529641608280217</v>
      </c>
      <c r="AH101" t="str">
        <f t="shared" si="247"/>
        <v>63 Community and civil enforcement occupations</v>
      </c>
      <c r="AI101" s="17">
        <f t="shared" si="215"/>
        <v>-3.5186161388884307</v>
      </c>
      <c r="AJ101" s="17">
        <f t="shared" si="215"/>
        <v>38.302875859584248</v>
      </c>
      <c r="AK101" s="17">
        <f t="shared" si="215"/>
        <v>-2.0057682970875845</v>
      </c>
      <c r="AL101" s="17">
        <f t="shared" si="215"/>
        <v>1.6420366483512749</v>
      </c>
      <c r="AM101" s="17">
        <f t="shared" si="216"/>
        <v>2.4407996527545661</v>
      </c>
      <c r="AO101" s="17">
        <f t="shared" si="217"/>
        <v>0.41125839009856779</v>
      </c>
      <c r="AP101" s="17">
        <f t="shared" si="218"/>
        <v>3.0971169309336855</v>
      </c>
      <c r="AQ101" s="17">
        <f t="shared" si="219"/>
        <v>3.3682583808355204</v>
      </c>
      <c r="AS101" t="str">
        <f t="shared" si="248"/>
        <v>63 Community and civil enforcement occupations</v>
      </c>
      <c r="AT101" s="17">
        <f t="shared" si="220"/>
        <v>-5.2615078158603996</v>
      </c>
      <c r="AU101" s="17">
        <f t="shared" si="220"/>
        <v>37.525439873048263</v>
      </c>
      <c r="AV101" s="17">
        <f t="shared" si="220"/>
        <v>-4.2869384392829275</v>
      </c>
      <c r="AW101" s="17">
        <f t="shared" si="220"/>
        <v>0.28109796587980629</v>
      </c>
      <c r="AX101" s="17">
        <f t="shared" si="221"/>
        <v>0.80089030286847329</v>
      </c>
      <c r="AZ101" s="17">
        <f t="shared" si="222"/>
        <v>-1.2653048432022973</v>
      </c>
      <c r="BA101" s="17">
        <f t="shared" si="223"/>
        <v>2.7210262481303094</v>
      </c>
      <c r="BB101" s="17">
        <f t="shared" si="224"/>
        <v>1.8783166180782906</v>
      </c>
      <c r="BD101" t="str">
        <f t="shared" si="249"/>
        <v>63 Community and civil enforcement occupations</v>
      </c>
      <c r="BE101" s="17">
        <f t="shared" si="225"/>
        <v>-9.4676597303843266</v>
      </c>
      <c r="BF101" s="17">
        <f t="shared" si="225"/>
        <v>45.161337646662567</v>
      </c>
      <c r="BG101" s="17">
        <f t="shared" si="225"/>
        <v>-8.801367713036834</v>
      </c>
      <c r="BH101" s="17">
        <f t="shared" si="225"/>
        <v>0.11793198223766233</v>
      </c>
      <c r="BI101" s="17">
        <f t="shared" si="226"/>
        <v>-0.47505283989732749</v>
      </c>
      <c r="BK101" s="17">
        <f t="shared" si="227"/>
        <v>-2.9481044918741928</v>
      </c>
      <c r="BL101" s="17">
        <f t="shared" si="228"/>
        <v>1.3934562540096396</v>
      </c>
      <c r="BM101" s="17">
        <f t="shared" si="229"/>
        <v>-0.93138790800726401</v>
      </c>
      <c r="BO101" t="str">
        <f t="shared" si="250"/>
        <v>63 Community and civil enforcement occupations</v>
      </c>
      <c r="BP101" s="17">
        <f t="shared" si="230"/>
        <v>-6.9935660285949774</v>
      </c>
      <c r="BQ101" s="17">
        <f t="shared" si="230"/>
        <v>41.144125610907011</v>
      </c>
      <c r="BR101" s="17">
        <f t="shared" si="230"/>
        <v>-7.8756060875491922</v>
      </c>
      <c r="BS101" s="17">
        <f t="shared" si="230"/>
        <v>-1.4311850297235251</v>
      </c>
      <c r="BT101" s="17">
        <f t="shared" si="231"/>
        <v>-1.3020320625669934</v>
      </c>
      <c r="BV101" s="17">
        <f t="shared" si="232"/>
        <v>-3.6279187482217701</v>
      </c>
      <c r="BW101" s="17">
        <f t="shared" si="233"/>
        <v>1.7142987791927355</v>
      </c>
      <c r="BX101" s="17">
        <f t="shared" si="234"/>
        <v>-0.96302842477046235</v>
      </c>
      <c r="BZ101" t="str">
        <f t="shared" si="251"/>
        <v>63 Community and civil enforcement occupations</v>
      </c>
      <c r="CA101" s="17">
        <f t="shared" si="235"/>
        <v>-0.36385723758148858</v>
      </c>
      <c r="CB101" s="17">
        <f t="shared" si="235"/>
        <v>24.312548739303729</v>
      </c>
      <c r="CC101" s="17">
        <f t="shared" si="235"/>
        <v>-4.5704876669674928</v>
      </c>
      <c r="CD101" s="17">
        <f t="shared" si="235"/>
        <v>0.24740561047436049</v>
      </c>
      <c r="CE101" s="17">
        <f t="shared" si="236"/>
        <v>5.2684251222667733E-2</v>
      </c>
      <c r="CG101" s="17">
        <f t="shared" si="237"/>
        <v>-1.3849961226981566</v>
      </c>
      <c r="CH101" s="17">
        <f t="shared" si="238"/>
        <v>1.697550628874156</v>
      </c>
      <c r="CI101" s="17">
        <f t="shared" si="239"/>
        <v>0.6280584191569849</v>
      </c>
      <c r="CK101" t="str">
        <f t="shared" si="252"/>
        <v>63 Community and civil enforcement occupations</v>
      </c>
      <c r="CL101" s="17">
        <f t="shared" si="240"/>
        <v>-8.7514822622433925</v>
      </c>
      <c r="CM101" s="17">
        <f t="shared" si="240"/>
        <v>117.66895387260439</v>
      </c>
      <c r="CN101" s="17">
        <f t="shared" si="240"/>
        <v>-15.660192907329973</v>
      </c>
      <c r="CO101" s="17">
        <f t="shared" si="240"/>
        <v>-1.8445357779941496</v>
      </c>
      <c r="CP101" s="17">
        <f t="shared" si="241"/>
        <v>-1.6115723769974166</v>
      </c>
      <c r="CR101" s="17">
        <f t="shared" si="242"/>
        <v>-6.6844854034285746</v>
      </c>
      <c r="CS101" s="17">
        <f t="shared" si="243"/>
        <v>0.80357528582617466</v>
      </c>
      <c r="CT101" s="17">
        <f t="shared" si="244"/>
        <v>-4.7514899801237798</v>
      </c>
    </row>
    <row r="102" spans="1:98" x14ac:dyDescent="0.2">
      <c r="A102" t="str">
        <f t="shared" si="199"/>
        <v>71 Sales occupations</v>
      </c>
      <c r="B102" s="17">
        <f t="shared" si="200"/>
        <v>4.3567326372772275</v>
      </c>
      <c r="C102" s="17">
        <f t="shared" si="200"/>
        <v>-14.783576172012381</v>
      </c>
      <c r="D102" s="17">
        <f t="shared" si="200"/>
        <v>5.9560949791938933</v>
      </c>
      <c r="E102" s="17">
        <f t="shared" si="200"/>
        <v>3.8893114964125397</v>
      </c>
      <c r="F102" s="17">
        <f t="shared" si="201"/>
        <v>3.2443647814897059</v>
      </c>
      <c r="H102" s="17">
        <f t="shared" si="202"/>
        <v>4.5737206255000773</v>
      </c>
      <c r="I102" s="17">
        <f t="shared" si="203"/>
        <v>3.4656538281073956</v>
      </c>
      <c r="J102" s="17">
        <f t="shared" si="204"/>
        <v>6.6396448316657697</v>
      </c>
      <c r="L102" t="str">
        <f t="shared" si="245"/>
        <v>71 Sales occupations</v>
      </c>
      <c r="M102" s="17">
        <f t="shared" si="205"/>
        <v>3.3722615428835478</v>
      </c>
      <c r="N102" s="17">
        <f t="shared" si="205"/>
        <v>-1.1974478529802046</v>
      </c>
      <c r="O102" s="17">
        <f t="shared" si="205"/>
        <v>6.260148779403707</v>
      </c>
      <c r="P102" s="17">
        <f t="shared" si="205"/>
        <v>5.5276277785004435</v>
      </c>
      <c r="Q102" s="17">
        <f t="shared" si="206"/>
        <v>5.3216431414606635</v>
      </c>
      <c r="S102" s="17">
        <f t="shared" si="207"/>
        <v>5.7712386362940737</v>
      </c>
      <c r="T102" s="17">
        <f t="shared" si="208"/>
        <v>3.9014655971773227</v>
      </c>
      <c r="U102" s="17">
        <f t="shared" si="209"/>
        <v>7.8243500652417586</v>
      </c>
      <c r="W102" t="str">
        <f t="shared" si="246"/>
        <v>71 Sales occupations</v>
      </c>
      <c r="X102" s="17">
        <f t="shared" si="210"/>
        <v>-1.2948432380645025</v>
      </c>
      <c r="Y102" s="17">
        <f t="shared" si="210"/>
        <v>8.3182108594491275</v>
      </c>
      <c r="Z102" s="17">
        <f t="shared" si="210"/>
        <v>2.5581712567168902</v>
      </c>
      <c r="AA102" s="17">
        <f t="shared" si="210"/>
        <v>2.2874463617301277</v>
      </c>
      <c r="AB102" s="17">
        <f t="shared" si="211"/>
        <v>2.7391602076425325</v>
      </c>
      <c r="AD102" s="17">
        <f t="shared" si="212"/>
        <v>2.3776084958661237</v>
      </c>
      <c r="AE102" s="17">
        <f t="shared" si="213"/>
        <v>3.6184450786938882</v>
      </c>
      <c r="AF102" s="17">
        <f t="shared" si="214"/>
        <v>5.1598550610316707</v>
      </c>
      <c r="AH102" t="str">
        <f t="shared" si="247"/>
        <v>71 Sales occupations</v>
      </c>
      <c r="AI102" s="17">
        <f t="shared" si="215"/>
        <v>-1.8948461693040652</v>
      </c>
      <c r="AJ102" s="17">
        <f t="shared" si="215"/>
        <v>12.529138948131301</v>
      </c>
      <c r="AK102" s="17">
        <f t="shared" si="215"/>
        <v>1.6922835195298136</v>
      </c>
      <c r="AL102" s="17">
        <f t="shared" si="215"/>
        <v>2.3306525748982398</v>
      </c>
      <c r="AM102" s="17">
        <f t="shared" si="216"/>
        <v>2.7389568666338793</v>
      </c>
      <c r="AO102" s="17">
        <f t="shared" si="217"/>
        <v>2.117418868062293</v>
      </c>
      <c r="AP102" s="17">
        <f t="shared" si="218"/>
        <v>3.5766356821428813</v>
      </c>
      <c r="AQ102" s="17">
        <f t="shared" si="219"/>
        <v>4.9473598841814459</v>
      </c>
      <c r="AS102" t="str">
        <f t="shared" si="248"/>
        <v>71 Sales occupations</v>
      </c>
      <c r="AT102" s="17">
        <f t="shared" si="220"/>
        <v>-3.1194360307795987</v>
      </c>
      <c r="AU102" s="17">
        <f t="shared" si="220"/>
        <v>6.8822391316091247</v>
      </c>
      <c r="AV102" s="17">
        <f t="shared" si="220"/>
        <v>1.0185633982874087</v>
      </c>
      <c r="AW102" s="17">
        <f t="shared" si="220"/>
        <v>1.5754517966718229</v>
      </c>
      <c r="AX102" s="17">
        <f t="shared" si="221"/>
        <v>1.7243549063534314</v>
      </c>
      <c r="AZ102" s="17">
        <f t="shared" si="222"/>
        <v>1.3894820550375275</v>
      </c>
      <c r="BA102" s="17">
        <f t="shared" si="223"/>
        <v>3.0408110318681292</v>
      </c>
      <c r="BB102" s="17">
        <f t="shared" si="224"/>
        <v>3.9856512726899274</v>
      </c>
      <c r="BD102" t="str">
        <f t="shared" si="249"/>
        <v>71 Sales occupations</v>
      </c>
      <c r="BE102" s="17">
        <f t="shared" si="225"/>
        <v>-0.33119850810765517</v>
      </c>
      <c r="BF102" s="17">
        <f t="shared" si="225"/>
        <v>-0.59552714550544783</v>
      </c>
      <c r="BG102" s="17">
        <f t="shared" si="225"/>
        <v>-0.21489917103274525</v>
      </c>
      <c r="BH102" s="17">
        <f t="shared" si="225"/>
        <v>0.76022503714001655</v>
      </c>
      <c r="BI102" s="17">
        <f t="shared" si="226"/>
        <v>0.36946455368676023</v>
      </c>
      <c r="BK102" s="17">
        <f t="shared" si="227"/>
        <v>0.43412941247205072</v>
      </c>
      <c r="BL102" s="17">
        <f t="shared" si="228"/>
        <v>2.4730156659786395</v>
      </c>
      <c r="BM102" s="17">
        <f t="shared" si="229"/>
        <v>2.7842409554496683</v>
      </c>
      <c r="BO102" t="str">
        <f t="shared" si="250"/>
        <v>71 Sales occupations</v>
      </c>
      <c r="BP102" s="17">
        <f t="shared" si="230"/>
        <v>-3.4990054577782703</v>
      </c>
      <c r="BQ102" s="17">
        <f t="shared" si="230"/>
        <v>-6.0026390862476404</v>
      </c>
      <c r="BR102" s="17">
        <f t="shared" si="230"/>
        <v>-3.127106849094563</v>
      </c>
      <c r="BS102" s="17">
        <f t="shared" si="230"/>
        <v>-2.6538721624087325</v>
      </c>
      <c r="BT102" s="17">
        <f t="shared" si="231"/>
        <v>-3.0144319170138045</v>
      </c>
      <c r="BV102" s="17">
        <f t="shared" si="232"/>
        <v>-2.8118733688825781</v>
      </c>
      <c r="BW102" s="17">
        <f t="shared" si="233"/>
        <v>2.1934847506666744</v>
      </c>
      <c r="BX102" s="17">
        <f t="shared" si="234"/>
        <v>0.23993904237709085</v>
      </c>
      <c r="BZ102" t="str">
        <f t="shared" si="251"/>
        <v>71 Sales occupations</v>
      </c>
      <c r="CA102" s="17">
        <f t="shared" si="235"/>
        <v>2.6701874723158436</v>
      </c>
      <c r="CB102" s="17">
        <f t="shared" si="235"/>
        <v>-3.1333576750237402</v>
      </c>
      <c r="CC102" s="17">
        <f t="shared" si="235"/>
        <v>-3.8424332029590169</v>
      </c>
      <c r="CD102" s="17">
        <f t="shared" si="235"/>
        <v>-9.7725446146350592</v>
      </c>
      <c r="CE102" s="17">
        <f t="shared" si="236"/>
        <v>-7.5504254911587632</v>
      </c>
      <c r="CG102" s="17">
        <f t="shared" si="237"/>
        <v>-7.8376313254991947</v>
      </c>
      <c r="CH102" s="17">
        <f t="shared" si="238"/>
        <v>1.357962044769212</v>
      </c>
      <c r="CI102" s="17">
        <f t="shared" si="239"/>
        <v>-4.2877910847343941</v>
      </c>
      <c r="CK102" t="str">
        <f t="shared" si="252"/>
        <v>71 Sales occupations</v>
      </c>
      <c r="CL102" s="17">
        <f t="shared" si="240"/>
        <v>-6.1279375858640073</v>
      </c>
      <c r="CM102" s="17">
        <f t="shared" si="240"/>
        <v>18.27853206323109</v>
      </c>
      <c r="CN102" s="17">
        <f t="shared" si="240"/>
        <v>-9.93660509462606</v>
      </c>
      <c r="CO102" s="17">
        <f t="shared" si="240"/>
        <v>-3.8024630045922159</v>
      </c>
      <c r="CP102" s="17">
        <f t="shared" si="241"/>
        <v>-4.5380198178320068</v>
      </c>
      <c r="CR102" s="17">
        <f t="shared" si="242"/>
        <v>-5.8922464930073364</v>
      </c>
      <c r="CS102" s="17">
        <f t="shared" si="243"/>
        <v>1.0565396647326697</v>
      </c>
      <c r="CT102" s="17">
        <f t="shared" si="244"/>
        <v>-3.6455243953843697</v>
      </c>
    </row>
    <row r="103" spans="1:98" x14ac:dyDescent="0.2">
      <c r="A103" t="str">
        <f t="shared" si="199"/>
        <v>72 Customer service occupations</v>
      </c>
      <c r="B103" s="17">
        <f t="shared" si="200"/>
        <v>5.3447981480326368</v>
      </c>
      <c r="C103" s="17">
        <f t="shared" si="200"/>
        <v>7.2592512355756034</v>
      </c>
      <c r="D103" s="17">
        <f t="shared" si="200"/>
        <v>12.799371408110005</v>
      </c>
      <c r="E103" s="17">
        <f t="shared" si="200"/>
        <v>5.6528394286304406</v>
      </c>
      <c r="F103" s="17">
        <f t="shared" si="201"/>
        <v>7.937845031905999</v>
      </c>
      <c r="H103" s="17">
        <f t="shared" si="202"/>
        <v>7.9832369672637071</v>
      </c>
      <c r="I103" s="17">
        <f t="shared" si="203"/>
        <v>4.7682160831956644</v>
      </c>
      <c r="J103" s="17">
        <f t="shared" si="204"/>
        <v>9.9976961162810518</v>
      </c>
      <c r="L103" t="str">
        <f t="shared" si="245"/>
        <v>72 Customer service occupations</v>
      </c>
      <c r="M103" s="17">
        <f t="shared" si="205"/>
        <v>6.4328056831070901</v>
      </c>
      <c r="N103" s="17">
        <f t="shared" si="205"/>
        <v>6.8867550358423513</v>
      </c>
      <c r="O103" s="17">
        <f t="shared" si="205"/>
        <v>11.757828815914184</v>
      </c>
      <c r="P103" s="17">
        <f t="shared" si="205"/>
        <v>5.4574616969281342</v>
      </c>
      <c r="Q103" s="17">
        <f t="shared" si="206"/>
        <v>7.4775915150855798</v>
      </c>
      <c r="S103" s="17">
        <f t="shared" si="207"/>
        <v>7.5170965375159327</v>
      </c>
      <c r="T103" s="17">
        <f t="shared" si="208"/>
        <v>4.6942138443204051</v>
      </c>
      <c r="U103" s="17">
        <f t="shared" si="209"/>
        <v>9.6014355370569895</v>
      </c>
      <c r="W103" t="str">
        <f t="shared" si="246"/>
        <v>72 Customer service occupations</v>
      </c>
      <c r="X103" s="17">
        <f t="shared" si="210"/>
        <v>1.6288382173781812</v>
      </c>
      <c r="Y103" s="17">
        <f t="shared" si="210"/>
        <v>13.692860423878116</v>
      </c>
      <c r="Z103" s="17">
        <f t="shared" si="210"/>
        <v>7.9041488450247277</v>
      </c>
      <c r="AA103" s="17">
        <f t="shared" si="210"/>
        <v>3.0391664506874472</v>
      </c>
      <c r="AB103" s="17">
        <f t="shared" si="211"/>
        <v>5.1802514753425788</v>
      </c>
      <c r="AD103" s="17">
        <f t="shared" si="212"/>
        <v>4.6359541635063506</v>
      </c>
      <c r="AE103" s="17">
        <f t="shared" si="213"/>
        <v>4.1952111809868464</v>
      </c>
      <c r="AF103" s="17">
        <f t="shared" si="214"/>
        <v>7.1704965445034352</v>
      </c>
      <c r="AH103" t="str">
        <f t="shared" si="247"/>
        <v>72 Customer service occupations</v>
      </c>
      <c r="AI103" s="17">
        <f t="shared" si="215"/>
        <v>1.8559880494462444</v>
      </c>
      <c r="AJ103" s="17">
        <f t="shared" si="215"/>
        <v>14.35470944945525</v>
      </c>
      <c r="AK103" s="17">
        <f t="shared" si="215"/>
        <v>8.1563224931073144</v>
      </c>
      <c r="AL103" s="17">
        <f t="shared" si="215"/>
        <v>2.6386412469866727</v>
      </c>
      <c r="AM103" s="17">
        <f t="shared" si="216"/>
        <v>5.0392010520946995</v>
      </c>
      <c r="AO103" s="17">
        <f t="shared" si="217"/>
        <v>4.4458607786019178</v>
      </c>
      <c r="AP103" s="17">
        <f t="shared" si="218"/>
        <v>4.3587629023043029</v>
      </c>
      <c r="AQ103" s="17">
        <f t="shared" si="219"/>
        <v>7.1477003143157081</v>
      </c>
      <c r="AS103" t="str">
        <f t="shared" si="248"/>
        <v>72 Customer service occupations</v>
      </c>
      <c r="AT103" s="17">
        <f t="shared" si="220"/>
        <v>-0.42755667201456182</v>
      </c>
      <c r="AU103" s="17">
        <f t="shared" si="220"/>
        <v>8.612512242699033</v>
      </c>
      <c r="AV103" s="17">
        <f t="shared" si="220"/>
        <v>6.9477158355914392</v>
      </c>
      <c r="AW103" s="17">
        <f t="shared" si="220"/>
        <v>1.7035256762136131</v>
      </c>
      <c r="AX103" s="17">
        <f t="shared" si="221"/>
        <v>3.7393671928313221</v>
      </c>
      <c r="AZ103" s="17">
        <f t="shared" si="222"/>
        <v>3.4223758199520615</v>
      </c>
      <c r="BA103" s="17">
        <f t="shared" si="223"/>
        <v>3.7537316448125635</v>
      </c>
      <c r="BB103" s="17">
        <f t="shared" si="224"/>
        <v>5.9942958629509269</v>
      </c>
      <c r="BD103" t="str">
        <f t="shared" si="249"/>
        <v>72 Customer service occupations</v>
      </c>
      <c r="BE103" s="17">
        <f t="shared" si="225"/>
        <v>2.5305847281813731</v>
      </c>
      <c r="BF103" s="17">
        <f t="shared" si="225"/>
        <v>6.3836624257098684</v>
      </c>
      <c r="BG103" s="17">
        <f t="shared" si="225"/>
        <v>4.8052382553011252</v>
      </c>
      <c r="BH103" s="17">
        <f t="shared" si="225"/>
        <v>1.5570734932744079</v>
      </c>
      <c r="BI103" s="17">
        <f t="shared" si="226"/>
        <v>2.8592205147913496</v>
      </c>
      <c r="BK103" s="17">
        <f t="shared" si="227"/>
        <v>2.6284527881293762</v>
      </c>
      <c r="BL103" s="17">
        <f t="shared" si="228"/>
        <v>2.9777937402665211</v>
      </c>
      <c r="BM103" s="17">
        <f t="shared" si="229"/>
        <v>4.8289387176695397</v>
      </c>
      <c r="BO103" t="str">
        <f t="shared" si="250"/>
        <v>72 Customer service occupations</v>
      </c>
      <c r="BP103" s="17">
        <f t="shared" si="230"/>
        <v>2.1270191116286918</v>
      </c>
      <c r="BQ103" s="17">
        <f t="shared" si="230"/>
        <v>-5.0773203886094187</v>
      </c>
      <c r="BR103" s="17">
        <f t="shared" si="230"/>
        <v>3.4237878195205518</v>
      </c>
      <c r="BS103" s="17">
        <f t="shared" si="230"/>
        <v>-1.1020442589559476</v>
      </c>
      <c r="BT103" s="17">
        <f t="shared" si="231"/>
        <v>3.3757756728625132E-2</v>
      </c>
      <c r="BV103" s="17">
        <f t="shared" si="232"/>
        <v>0.38412155787423963</v>
      </c>
      <c r="BW103" s="17">
        <f t="shared" si="233"/>
        <v>2.8752734332173402</v>
      </c>
      <c r="BX103" s="17">
        <f t="shared" si="234"/>
        <v>3.1359546803115146</v>
      </c>
      <c r="BZ103" t="str">
        <f t="shared" si="251"/>
        <v>72 Customer service occupations</v>
      </c>
      <c r="CA103" s="17">
        <f t="shared" si="235"/>
        <v>3.8596453127860642</v>
      </c>
      <c r="CB103" s="17">
        <f t="shared" si="235"/>
        <v>7.6281571695591133E-2</v>
      </c>
      <c r="CC103" s="17">
        <f t="shared" si="235"/>
        <v>0.49562220693255554</v>
      </c>
      <c r="CD103" s="17">
        <f t="shared" si="235"/>
        <v>-1.9275211727851738</v>
      </c>
      <c r="CE103" s="17">
        <f t="shared" si="236"/>
        <v>-1.0516286906682049</v>
      </c>
      <c r="CG103" s="17">
        <f t="shared" si="237"/>
        <v>-1.1263691281934607</v>
      </c>
      <c r="CH103" s="17">
        <f t="shared" si="238"/>
        <v>1.7119458409719179</v>
      </c>
      <c r="CI103" s="17">
        <f t="shared" si="239"/>
        <v>0.84012680199276879</v>
      </c>
      <c r="CK103" t="str">
        <f t="shared" si="252"/>
        <v>72 Customer service occupations</v>
      </c>
      <c r="CL103" s="17">
        <f t="shared" si="240"/>
        <v>3.1421068935566954</v>
      </c>
      <c r="CM103" s="17">
        <f t="shared" si="240"/>
        <v>20.210797040295137</v>
      </c>
      <c r="CN103" s="17">
        <f t="shared" si="240"/>
        <v>6.679409821240534</v>
      </c>
      <c r="CO103" s="17">
        <f t="shared" si="240"/>
        <v>0.83586096407886057</v>
      </c>
      <c r="CP103" s="17">
        <f t="shared" si="241"/>
        <v>3.7602567926528385</v>
      </c>
      <c r="CR103" s="17">
        <f t="shared" si="242"/>
        <v>2.7472504035343404</v>
      </c>
      <c r="CS103" s="17">
        <f t="shared" si="243"/>
        <v>2.6316197059761626</v>
      </c>
      <c r="CT103" s="17">
        <f t="shared" si="244"/>
        <v>4.6523642238872176</v>
      </c>
    </row>
    <row r="104" spans="1:98" x14ac:dyDescent="0.2">
      <c r="A104" t="str">
        <f t="shared" si="199"/>
        <v>81 Process, plant and machine operatives</v>
      </c>
      <c r="B104" s="17">
        <f t="shared" si="200"/>
        <v>8.1679390581962821</v>
      </c>
      <c r="C104" s="17">
        <f t="shared" si="200"/>
        <v>-23.811499678220905</v>
      </c>
      <c r="D104" s="17">
        <f t="shared" si="200"/>
        <v>14.294346779384504</v>
      </c>
      <c r="E104" s="17">
        <f t="shared" si="200"/>
        <v>8.6761675304574339</v>
      </c>
      <c r="F104" s="17">
        <f t="shared" si="201"/>
        <v>7.9778734360510972</v>
      </c>
      <c r="H104" s="17">
        <f t="shared" si="202"/>
        <v>10.517518860893894</v>
      </c>
      <c r="I104" s="17">
        <f t="shared" si="203"/>
        <v>5.8941914233931136</v>
      </c>
      <c r="J104" s="17">
        <f t="shared" si="204"/>
        <v>12.488579077365959</v>
      </c>
      <c r="L104" t="str">
        <f t="shared" si="245"/>
        <v>81 Process, plant and machine operatives</v>
      </c>
      <c r="M104" s="17">
        <f t="shared" si="205"/>
        <v>5.2696951464272335</v>
      </c>
      <c r="N104" s="17">
        <f t="shared" si="205"/>
        <v>-14.314957327438604</v>
      </c>
      <c r="O104" s="17">
        <f t="shared" si="205"/>
        <v>13.900248177663688</v>
      </c>
      <c r="P104" s="17">
        <f t="shared" si="205"/>
        <v>6.5634273657966258</v>
      </c>
      <c r="Q104" s="17">
        <f t="shared" si="206"/>
        <v>7.3311136749999228</v>
      </c>
      <c r="S104" s="17">
        <f t="shared" si="207"/>
        <v>8.9549611574869523</v>
      </c>
      <c r="T104" s="17">
        <f t="shared" si="208"/>
        <v>5.0394903057512375</v>
      </c>
      <c r="U104" s="17">
        <f t="shared" si="209"/>
        <v>10.884823657315291</v>
      </c>
      <c r="W104" t="str">
        <f t="shared" si="246"/>
        <v>81 Process, plant and machine operatives</v>
      </c>
      <c r="X104" s="17">
        <f t="shared" si="210"/>
        <v>-2.1214860474941699</v>
      </c>
      <c r="Y104" s="17">
        <f t="shared" si="210"/>
        <v>-8.9451190321253158</v>
      </c>
      <c r="Z104" s="17">
        <f t="shared" si="210"/>
        <v>11.723832717675453</v>
      </c>
      <c r="AA104" s="17">
        <f t="shared" si="210"/>
        <v>5.4271363455036248</v>
      </c>
      <c r="AB104" s="17">
        <f t="shared" si="211"/>
        <v>6.3768874567658562</v>
      </c>
      <c r="AD104" s="17">
        <f t="shared" si="212"/>
        <v>7.4855827569778155</v>
      </c>
      <c r="AE104" s="17">
        <f t="shared" si="213"/>
        <v>4.9879729702433373</v>
      </c>
      <c r="AF104" s="17">
        <f t="shared" si="214"/>
        <v>9.7340427681939836</v>
      </c>
      <c r="AH104" t="str">
        <f t="shared" si="247"/>
        <v>81 Process, plant and machine operatives</v>
      </c>
      <c r="AI104" s="17">
        <f t="shared" si="215"/>
        <v>-1.13793381814844</v>
      </c>
      <c r="AJ104" s="17">
        <f t="shared" si="215"/>
        <v>-8.0963772801179381</v>
      </c>
      <c r="AK104" s="17">
        <f t="shared" si="215"/>
        <v>11.51273677167004</v>
      </c>
      <c r="AL104" s="17">
        <f t="shared" si="215"/>
        <v>5.4959228906068303</v>
      </c>
      <c r="AM104" s="17">
        <f t="shared" si="216"/>
        <v>6.4190763151230179</v>
      </c>
      <c r="AO104" s="17">
        <f t="shared" si="217"/>
        <v>7.4645625896836876</v>
      </c>
      <c r="AP104" s="17">
        <f t="shared" si="218"/>
        <v>4.7081442493952297</v>
      </c>
      <c r="AQ104" s="17">
        <f t="shared" si="219"/>
        <v>9.5686957941894413</v>
      </c>
      <c r="AS104" t="str">
        <f t="shared" si="248"/>
        <v>81 Process, plant and machine operatives</v>
      </c>
      <c r="AT104" s="17">
        <f t="shared" si="220"/>
        <v>-1.9868160640903909</v>
      </c>
      <c r="AU104" s="17">
        <f t="shared" si="220"/>
        <v>-9.8903284294782559</v>
      </c>
      <c r="AV104" s="17">
        <f t="shared" si="220"/>
        <v>9.5269658533557955</v>
      </c>
      <c r="AW104" s="17">
        <f t="shared" si="220"/>
        <v>3.4314938917154203</v>
      </c>
      <c r="AX104" s="17">
        <f t="shared" si="221"/>
        <v>4.3954430029414571</v>
      </c>
      <c r="AZ104" s="17">
        <f t="shared" si="222"/>
        <v>5.4246619771534776</v>
      </c>
      <c r="BA104" s="17">
        <f t="shared" si="223"/>
        <v>4.1249124014877347</v>
      </c>
      <c r="BB104" s="17">
        <f t="shared" si="224"/>
        <v>7.6995550910999411</v>
      </c>
      <c r="BD104" t="str">
        <f t="shared" si="249"/>
        <v>81 Process, plant and machine operatives</v>
      </c>
      <c r="BE104" s="17">
        <f t="shared" si="225"/>
        <v>-0.30233228670946133</v>
      </c>
      <c r="BF104" s="17">
        <f t="shared" si="225"/>
        <v>-14.432625352981887</v>
      </c>
      <c r="BG104" s="17">
        <f t="shared" si="225"/>
        <v>6.4119762709889061</v>
      </c>
      <c r="BH104" s="17">
        <f t="shared" si="225"/>
        <v>1.7944873775339376</v>
      </c>
      <c r="BI104" s="17">
        <f t="shared" si="226"/>
        <v>2.1013440886354706</v>
      </c>
      <c r="BK104" s="17">
        <f t="shared" si="227"/>
        <v>3.3109470551007103</v>
      </c>
      <c r="BL104" s="17">
        <f t="shared" si="228"/>
        <v>2.7351194235875065</v>
      </c>
      <c r="BM104" s="17">
        <f t="shared" si="229"/>
        <v>5.1666238872428716</v>
      </c>
      <c r="BO104" t="str">
        <f t="shared" si="250"/>
        <v>81 Process, plant and machine operatives</v>
      </c>
      <c r="BP104" s="17">
        <f t="shared" si="230"/>
        <v>-3.129964143702102</v>
      </c>
      <c r="BQ104" s="17">
        <f t="shared" si="230"/>
        <v>-8.7034380766808255</v>
      </c>
      <c r="BR104" s="17">
        <f t="shared" si="230"/>
        <v>3.6633974577200856</v>
      </c>
      <c r="BS104" s="17">
        <f t="shared" si="230"/>
        <v>-0.70260953892666844</v>
      </c>
      <c r="BT104" s="17">
        <f t="shared" si="231"/>
        <v>0.11461878690810501</v>
      </c>
      <c r="BV104" s="17">
        <f t="shared" si="232"/>
        <v>0.73190247508043704</v>
      </c>
      <c r="BW104" s="17">
        <f t="shared" si="233"/>
        <v>2.5919599586462505</v>
      </c>
      <c r="BX104" s="17">
        <f t="shared" si="234"/>
        <v>3.1116993149969074</v>
      </c>
      <c r="BZ104" t="str">
        <f t="shared" si="251"/>
        <v>81 Process, plant and machine operatives</v>
      </c>
      <c r="CA104" s="17">
        <f t="shared" si="235"/>
        <v>1.9659852728281191</v>
      </c>
      <c r="CB104" s="17">
        <f t="shared" si="235"/>
        <v>-20.070011210418194</v>
      </c>
      <c r="CC104" s="17">
        <f t="shared" si="235"/>
        <v>1.371625349607708</v>
      </c>
      <c r="CD104" s="17">
        <f t="shared" si="235"/>
        <v>-8.8426503700690837</v>
      </c>
      <c r="CE104" s="17">
        <f t="shared" si="236"/>
        <v>-6.5373601160993218</v>
      </c>
      <c r="CG104" s="17">
        <f t="shared" si="237"/>
        <v>-5.5576910175928917</v>
      </c>
      <c r="CH104" s="17">
        <f t="shared" si="238"/>
        <v>1.6059000753542385</v>
      </c>
      <c r="CI104" s="17">
        <f t="shared" si="239"/>
        <v>-2.4051346088820202</v>
      </c>
      <c r="CK104" t="str">
        <f t="shared" si="252"/>
        <v>81 Process, plant and machine operatives</v>
      </c>
      <c r="CL104" s="17">
        <f t="shared" si="240"/>
        <v>-4.7202318460994537</v>
      </c>
      <c r="CM104" s="17">
        <f t="shared" si="240"/>
        <v>14.823760209245274</v>
      </c>
      <c r="CN104" s="17">
        <f t="shared" si="240"/>
        <v>-11.449234262884357</v>
      </c>
      <c r="CO104" s="17">
        <f t="shared" si="240"/>
        <v>-5.1059993637824208</v>
      </c>
      <c r="CP104" s="17">
        <f t="shared" si="241"/>
        <v>-6.0225171536238742</v>
      </c>
      <c r="CR104" s="17">
        <f t="shared" si="242"/>
        <v>-7.2693555546777926</v>
      </c>
      <c r="CS104" s="17">
        <f t="shared" si="243"/>
        <v>0.88022941325367476</v>
      </c>
      <c r="CT104" s="17">
        <f t="shared" si="244"/>
        <v>-5.0059732075143586</v>
      </c>
    </row>
    <row r="105" spans="1:98" x14ac:dyDescent="0.2">
      <c r="A105" t="str">
        <f t="shared" si="199"/>
        <v>82 Transport and mobile machine drivers and operatives</v>
      </c>
      <c r="B105" s="17">
        <f t="shared" si="200"/>
        <v>7.0316328026666985</v>
      </c>
      <c r="C105" s="17">
        <f t="shared" si="200"/>
        <v>-16.164974101137741</v>
      </c>
      <c r="D105" s="17">
        <f t="shared" si="200"/>
        <v>12.549099972217025</v>
      </c>
      <c r="E105" s="17">
        <f t="shared" si="200"/>
        <v>5.1749949652938554</v>
      </c>
      <c r="F105" s="17">
        <f t="shared" si="201"/>
        <v>5.9141023036195284</v>
      </c>
      <c r="H105" s="17">
        <f t="shared" si="202"/>
        <v>7.5777215982864465</v>
      </c>
      <c r="I105" s="17">
        <f t="shared" si="203"/>
        <v>5.6065704590474885</v>
      </c>
      <c r="J105" s="17">
        <f t="shared" si="204"/>
        <v>10.139935377245624</v>
      </c>
      <c r="L105" t="str">
        <f t="shared" si="245"/>
        <v>82 Transport and mobile machine drivers and operatives</v>
      </c>
      <c r="M105" s="17">
        <f t="shared" si="205"/>
        <v>9.1526020892020341</v>
      </c>
      <c r="N105" s="17">
        <f t="shared" si="205"/>
        <v>-12.02943954263217</v>
      </c>
      <c r="O105" s="17">
        <f t="shared" si="205"/>
        <v>9.3987354107490049</v>
      </c>
      <c r="P105" s="17">
        <f t="shared" si="205"/>
        <v>5.0276236990649092</v>
      </c>
      <c r="Q105" s="17">
        <f t="shared" si="206"/>
        <v>5.2027618680889232</v>
      </c>
      <c r="S105" s="17">
        <f t="shared" si="207"/>
        <v>6.4649023893953217</v>
      </c>
      <c r="T105" s="17">
        <f t="shared" si="208"/>
        <v>5.0905314038863114</v>
      </c>
      <c r="U105" s="17">
        <f t="shared" si="209"/>
        <v>9.0450602675286476</v>
      </c>
      <c r="W105" t="str">
        <f t="shared" si="246"/>
        <v>82 Transport and mobile machine drivers and operatives</v>
      </c>
      <c r="X105" s="17">
        <f t="shared" si="210"/>
        <v>3.2350450149736254</v>
      </c>
      <c r="Y105" s="17">
        <f t="shared" si="210"/>
        <v>-5.7002373594555404</v>
      </c>
      <c r="Z105" s="17">
        <f t="shared" si="210"/>
        <v>5.5877600502095115</v>
      </c>
      <c r="AA105" s="17">
        <f t="shared" si="210"/>
        <v>3.2398556754789753</v>
      </c>
      <c r="AB105" s="17">
        <f t="shared" si="211"/>
        <v>3.3810105764555676</v>
      </c>
      <c r="AD105" s="17">
        <f t="shared" si="212"/>
        <v>4.0166313564359513</v>
      </c>
      <c r="AE105" s="17">
        <f t="shared" si="213"/>
        <v>4.6408092027852454</v>
      </c>
      <c r="AF105" s="17">
        <f t="shared" si="214"/>
        <v>7.0541179283454936</v>
      </c>
      <c r="AH105" t="str">
        <f t="shared" si="247"/>
        <v>82 Transport and mobile machine drivers and operatives</v>
      </c>
      <c r="AI105" s="17">
        <f t="shared" si="215"/>
        <v>4.654442902690592</v>
      </c>
      <c r="AJ105" s="17">
        <f t="shared" si="215"/>
        <v>-3.5840238671784652</v>
      </c>
      <c r="AK105" s="17">
        <f t="shared" si="215"/>
        <v>6.3779622584662965</v>
      </c>
      <c r="AL105" s="17">
        <f t="shared" si="215"/>
        <v>2.7980415301540607</v>
      </c>
      <c r="AM105" s="17">
        <f t="shared" si="216"/>
        <v>3.4882359335986601</v>
      </c>
      <c r="AO105" s="17">
        <f t="shared" si="217"/>
        <v>3.9777581498681824</v>
      </c>
      <c r="AP105" s="17">
        <f t="shared" si="218"/>
        <v>4.7301768535742861</v>
      </c>
      <c r="AQ105" s="17">
        <f t="shared" si="219"/>
        <v>7.0934394373266096</v>
      </c>
      <c r="AS105" t="str">
        <f t="shared" si="248"/>
        <v>82 Transport and mobile machine drivers and operatives</v>
      </c>
      <c r="AT105" s="17">
        <f t="shared" si="220"/>
        <v>1.2767096491559382</v>
      </c>
      <c r="AU105" s="17">
        <f t="shared" si="220"/>
        <v>-10.95525429339963</v>
      </c>
      <c r="AV105" s="17">
        <f t="shared" si="220"/>
        <v>6.4211645679124629</v>
      </c>
      <c r="AW105" s="17">
        <f t="shared" si="220"/>
        <v>2.0663001655299773</v>
      </c>
      <c r="AX105" s="17">
        <f t="shared" si="221"/>
        <v>2.5293616495328353</v>
      </c>
      <c r="AZ105" s="17">
        <f t="shared" si="222"/>
        <v>3.497752060210968</v>
      </c>
      <c r="BA105" s="17">
        <f t="shared" si="223"/>
        <v>4.6458155654906186</v>
      </c>
      <c r="BB105" s="17">
        <f t="shared" si="224"/>
        <v>6.7154267642103971</v>
      </c>
      <c r="BD105" t="str">
        <f t="shared" si="249"/>
        <v>82 Transport and mobile machine drivers and operatives</v>
      </c>
      <c r="BE105" s="17">
        <f t="shared" si="225"/>
        <v>0.64445508754000791</v>
      </c>
      <c r="BF105" s="17">
        <f t="shared" si="225"/>
        <v>-13.819740056295371</v>
      </c>
      <c r="BG105" s="17">
        <f t="shared" si="225"/>
        <v>3.4895488719540291</v>
      </c>
      <c r="BH105" s="17">
        <f t="shared" si="225"/>
        <v>1.4412122644564374</v>
      </c>
      <c r="BI105" s="17">
        <f t="shared" si="226"/>
        <v>1.0420528010082863</v>
      </c>
      <c r="BK105" s="17">
        <f t="shared" si="227"/>
        <v>2.1194463665189955</v>
      </c>
      <c r="BL105" s="17">
        <f t="shared" si="228"/>
        <v>3.2316027053943985</v>
      </c>
      <c r="BM105" s="17">
        <f t="shared" si="229"/>
        <v>4.6629807130370127</v>
      </c>
      <c r="BO105" t="str">
        <f t="shared" si="250"/>
        <v>82 Transport and mobile machine drivers and operatives</v>
      </c>
      <c r="BP105" s="17">
        <f t="shared" si="230"/>
        <v>-0.93149952744439046</v>
      </c>
      <c r="BQ105" s="17">
        <f t="shared" si="230"/>
        <v>-5.8200871831042829</v>
      </c>
      <c r="BR105" s="17">
        <f t="shared" si="230"/>
        <v>0.88421402934948379</v>
      </c>
      <c r="BS105" s="17">
        <f t="shared" si="230"/>
        <v>-0.34312179993203351</v>
      </c>
      <c r="BT105" s="17">
        <f t="shared" si="231"/>
        <v>-0.31399388430334296</v>
      </c>
      <c r="BV105" s="17">
        <f t="shared" si="232"/>
        <v>6.4322052223531045E-2</v>
      </c>
      <c r="BW105" s="17">
        <f t="shared" si="233"/>
        <v>3.1598063172763036</v>
      </c>
      <c r="BX105" s="17">
        <f t="shared" si="234"/>
        <v>3.2014875333327364</v>
      </c>
      <c r="BZ105" t="str">
        <f t="shared" si="251"/>
        <v>82 Transport and mobile machine drivers and operatives</v>
      </c>
      <c r="CA105" s="17">
        <f t="shared" si="235"/>
        <v>3.8634376262760339</v>
      </c>
      <c r="CB105" s="17">
        <f t="shared" si="235"/>
        <v>-23.904040046878539</v>
      </c>
      <c r="CC105" s="17">
        <f t="shared" si="235"/>
        <v>-0.69464103540148869</v>
      </c>
      <c r="CD105" s="17">
        <f t="shared" si="235"/>
        <v>-1.7856666679950783</v>
      </c>
      <c r="CE105" s="17">
        <f t="shared" si="236"/>
        <v>-3.0052205388690356</v>
      </c>
      <c r="CG105" s="17">
        <f t="shared" si="237"/>
        <v>-1.423329850580779</v>
      </c>
      <c r="CH105" s="17">
        <f t="shared" si="238"/>
        <v>2.2116614621286557</v>
      </c>
      <c r="CI105" s="17">
        <f t="shared" si="239"/>
        <v>1.1940964134954157</v>
      </c>
      <c r="CK105" t="str">
        <f t="shared" si="252"/>
        <v>82 Transport and mobile machine drivers and operatives</v>
      </c>
      <c r="CL105" s="17">
        <f t="shared" si="240"/>
        <v>3.6803636556922648</v>
      </c>
      <c r="CM105" s="17">
        <f t="shared" si="240"/>
        <v>34.492378722406137</v>
      </c>
      <c r="CN105" s="17">
        <f t="shared" si="240"/>
        <v>-5.2598165272853663</v>
      </c>
      <c r="CO105" s="17">
        <f t="shared" si="240"/>
        <v>-4.433537317017322</v>
      </c>
      <c r="CP105" s="17">
        <f t="shared" si="241"/>
        <v>-2.6353082134371708</v>
      </c>
      <c r="CR105" s="17">
        <f t="shared" si="242"/>
        <v>-4.7097613454630372</v>
      </c>
      <c r="CS105" s="17">
        <f t="shared" si="243"/>
        <v>1.738318904353342</v>
      </c>
      <c r="CT105" s="17">
        <f t="shared" si="244"/>
        <v>-1.6429470902866061</v>
      </c>
    </row>
    <row r="106" spans="1:98" x14ac:dyDescent="0.2">
      <c r="A106" t="str">
        <f t="shared" si="199"/>
        <v>91 Elementary trades and related occupations</v>
      </c>
      <c r="B106" s="17">
        <f t="shared" si="200"/>
        <v>-1.0645247960430426</v>
      </c>
      <c r="C106" s="17">
        <f t="shared" si="200"/>
        <v>-21.519413891821159</v>
      </c>
      <c r="D106" s="17">
        <f t="shared" si="200"/>
        <v>4.9873527341910417</v>
      </c>
      <c r="E106" s="17">
        <f t="shared" si="200"/>
        <v>4.301278913779738</v>
      </c>
      <c r="F106" s="17">
        <f t="shared" si="201"/>
        <v>2.6736423107808438</v>
      </c>
      <c r="H106" s="17">
        <f t="shared" si="202"/>
        <v>4.5294705825241977</v>
      </c>
      <c r="I106" s="17">
        <f t="shared" si="203"/>
        <v>3.9315244194475074</v>
      </c>
      <c r="J106" s="17">
        <f t="shared" si="204"/>
        <v>6.9160104050889126</v>
      </c>
      <c r="L106" t="str">
        <f t="shared" si="245"/>
        <v>91 Elementary trades and related occupations</v>
      </c>
      <c r="M106" s="17">
        <f t="shared" si="205"/>
        <v>5.4427515572679663</v>
      </c>
      <c r="N106" s="17">
        <f t="shared" si="205"/>
        <v>-22.552873309816079</v>
      </c>
      <c r="O106" s="17">
        <f t="shared" si="205"/>
        <v>8.3557548615701638</v>
      </c>
      <c r="P106" s="17">
        <f t="shared" si="205"/>
        <v>4.759946656074443</v>
      </c>
      <c r="Q106" s="17">
        <f t="shared" si="206"/>
        <v>3.8905676262197986</v>
      </c>
      <c r="S106" s="17">
        <f t="shared" si="207"/>
        <v>5.9450913418948259</v>
      </c>
      <c r="T106" s="17">
        <f t="shared" si="208"/>
        <v>3.772864898439976</v>
      </c>
      <c r="U106" s="17">
        <f t="shared" si="209"/>
        <v>7.8826127518326627</v>
      </c>
      <c r="W106" t="str">
        <f t="shared" si="246"/>
        <v>91 Elementary trades and related occupations</v>
      </c>
      <c r="X106" s="17">
        <f t="shared" si="210"/>
        <v>-3.0578865665033095</v>
      </c>
      <c r="Y106" s="17">
        <f t="shared" si="210"/>
        <v>-5.3838525000132869</v>
      </c>
      <c r="Z106" s="17">
        <f t="shared" si="210"/>
        <v>2.2284441482078643</v>
      </c>
      <c r="AA106" s="17">
        <f t="shared" si="210"/>
        <v>1.1101616444159523</v>
      </c>
      <c r="AB106" s="17">
        <f t="shared" si="211"/>
        <v>1.0382356727329789</v>
      </c>
      <c r="AD106" s="17">
        <f t="shared" si="212"/>
        <v>1.4815566112852174</v>
      </c>
      <c r="AE106" s="17">
        <f t="shared" si="213"/>
        <v>3.3876746860079132</v>
      </c>
      <c r="AF106" s="17">
        <f t="shared" si="214"/>
        <v>4.3539692444637179</v>
      </c>
      <c r="AH106" t="str">
        <f t="shared" si="247"/>
        <v>91 Elementary trades and related occupations</v>
      </c>
      <c r="AI106" s="17">
        <f t="shared" si="215"/>
        <v>-1.9481426183486139</v>
      </c>
      <c r="AJ106" s="17">
        <f t="shared" si="215"/>
        <v>-10.975115603741914</v>
      </c>
      <c r="AK106" s="17">
        <f t="shared" si="215"/>
        <v>2.0591342710445604</v>
      </c>
      <c r="AL106" s="17">
        <f t="shared" si="215"/>
        <v>1.99753916582317</v>
      </c>
      <c r="AM106" s="17">
        <f t="shared" si="216"/>
        <v>1.1531088280538837</v>
      </c>
      <c r="AO106" s="17">
        <f t="shared" si="217"/>
        <v>2.0180667359992022</v>
      </c>
      <c r="AP106" s="17">
        <f t="shared" si="218"/>
        <v>3.3859961673945449</v>
      </c>
      <c r="AQ106" s="17">
        <f t="shared" si="219"/>
        <v>4.7200828036830567</v>
      </c>
      <c r="AS106" t="str">
        <f t="shared" si="248"/>
        <v>91 Elementary trades and related occupations</v>
      </c>
      <c r="AT106" s="17">
        <f t="shared" si="220"/>
        <v>-3.0836727047396817</v>
      </c>
      <c r="AU106" s="17">
        <f t="shared" si="220"/>
        <v>-1.9563652665832487</v>
      </c>
      <c r="AV106" s="17">
        <f t="shared" si="220"/>
        <v>1.8926282971147179</v>
      </c>
      <c r="AW106" s="17">
        <f t="shared" si="220"/>
        <v>1.1635783737275363</v>
      </c>
      <c r="AX106" s="17">
        <f t="shared" si="221"/>
        <v>1.1925269315581577</v>
      </c>
      <c r="AZ106" s="17">
        <f t="shared" si="222"/>
        <v>1.4060135627916859</v>
      </c>
      <c r="BA106" s="17">
        <f t="shared" si="223"/>
        <v>2.9251122930704865</v>
      </c>
      <c r="BB106" s="17">
        <f t="shared" si="224"/>
        <v>3.8957023187637052</v>
      </c>
      <c r="BD106" t="str">
        <f t="shared" si="249"/>
        <v>91 Elementary trades and related occupations</v>
      </c>
      <c r="BE106" s="17">
        <f t="shared" si="225"/>
        <v>-3.1341214692081176</v>
      </c>
      <c r="BF106" s="17">
        <f t="shared" si="225"/>
        <v>-10.622669842689159</v>
      </c>
      <c r="BG106" s="17">
        <f t="shared" si="225"/>
        <v>0.22897614417607404</v>
      </c>
      <c r="BH106" s="17">
        <f t="shared" si="225"/>
        <v>1.5205117743914087</v>
      </c>
      <c r="BI106" s="17">
        <f t="shared" si="226"/>
        <v>0.31323575666357684</v>
      </c>
      <c r="BK106" s="17">
        <f t="shared" si="227"/>
        <v>1.0881612384083139</v>
      </c>
      <c r="BL106" s="17">
        <f t="shared" si="228"/>
        <v>2.1895653190842523</v>
      </c>
      <c r="BM106" s="17">
        <f t="shared" si="229"/>
        <v>3.0095805639619666</v>
      </c>
      <c r="BO106" t="str">
        <f t="shared" si="250"/>
        <v>91 Elementary trades and related occupations</v>
      </c>
      <c r="BP106" s="17">
        <f t="shared" si="230"/>
        <v>-7.1595574630441199</v>
      </c>
      <c r="BQ106" s="17">
        <f t="shared" si="230"/>
        <v>-7.3852297994927092</v>
      </c>
      <c r="BR106" s="17">
        <f t="shared" si="230"/>
        <v>-4.0500998835330204</v>
      </c>
      <c r="BS106" s="17">
        <f t="shared" si="230"/>
        <v>-1.4590315182421154</v>
      </c>
      <c r="BT106" s="17">
        <f t="shared" si="231"/>
        <v>-2.6542608778088672</v>
      </c>
      <c r="BV106" s="17">
        <f t="shared" si="232"/>
        <v>-2.3304035769379561</v>
      </c>
      <c r="BW106" s="17">
        <f t="shared" si="233"/>
        <v>1.8986614213365227</v>
      </c>
      <c r="BX106" s="17">
        <f t="shared" si="234"/>
        <v>0.18451145334135166</v>
      </c>
      <c r="BZ106" t="str">
        <f t="shared" si="251"/>
        <v>91 Elementary trades and related occupations</v>
      </c>
      <c r="CA106" s="17">
        <f t="shared" si="235"/>
        <v>0.1265305006395101</v>
      </c>
      <c r="CB106" s="17">
        <f t="shared" si="235"/>
        <v>-21.172248416444951</v>
      </c>
      <c r="CC106" s="17">
        <f t="shared" si="235"/>
        <v>-4.7750540947181452</v>
      </c>
      <c r="CD106" s="17">
        <f t="shared" si="235"/>
        <v>-2.2042327432088893</v>
      </c>
      <c r="CE106" s="17">
        <f t="shared" si="236"/>
        <v>-4.3131876060759966</v>
      </c>
      <c r="CG106" s="17">
        <f t="shared" si="237"/>
        <v>-3.0687938013635119</v>
      </c>
      <c r="CH106" s="17">
        <f t="shared" si="238"/>
        <v>1.5434127338936676</v>
      </c>
      <c r="CI106" s="17">
        <f t="shared" si="239"/>
        <v>-0.81245035389394538</v>
      </c>
      <c r="CK106" t="str">
        <f t="shared" si="252"/>
        <v>91 Elementary trades and related occupations</v>
      </c>
      <c r="CL106" s="17">
        <f t="shared" si="240"/>
        <v>-2.5630995339144591</v>
      </c>
      <c r="CM106" s="17">
        <f t="shared" si="240"/>
        <v>16.108152588141934</v>
      </c>
      <c r="CN106" s="17">
        <f t="shared" si="240"/>
        <v>-4.6268648215372128</v>
      </c>
      <c r="CO106" s="17">
        <f t="shared" si="240"/>
        <v>5.0684594795358251E-2</v>
      </c>
      <c r="CP106" s="17">
        <f t="shared" si="241"/>
        <v>-0.51396931801612755</v>
      </c>
      <c r="CR106" s="17">
        <f t="shared" si="242"/>
        <v>-1.533448221789746</v>
      </c>
      <c r="CS106" s="17">
        <f t="shared" si="243"/>
        <v>1.5172621733110292</v>
      </c>
      <c r="CT106" s="17">
        <f t="shared" si="244"/>
        <v>0.30366443376848018</v>
      </c>
    </row>
    <row r="107" spans="1:98" x14ac:dyDescent="0.2">
      <c r="A107" t="str">
        <f t="shared" si="199"/>
        <v>92 Elementary administration and service occupations</v>
      </c>
      <c r="B107" s="17">
        <f t="shared" si="200"/>
        <v>3.6506589939584</v>
      </c>
      <c r="C107" s="17">
        <f t="shared" si="200"/>
        <v>-12.02429320839734</v>
      </c>
      <c r="D107" s="17">
        <f t="shared" si="200"/>
        <v>10.420309561384089</v>
      </c>
      <c r="E107" s="17">
        <f t="shared" si="200"/>
        <v>4.0190848288734093</v>
      </c>
      <c r="F107" s="17">
        <f t="shared" si="201"/>
        <v>4.8747927740942609</v>
      </c>
      <c r="H107" s="17">
        <f t="shared" si="202"/>
        <v>6.11049465899276</v>
      </c>
      <c r="I107" s="17">
        <f t="shared" si="203"/>
        <v>4.6510952387381455</v>
      </c>
      <c r="J107" s="17">
        <f t="shared" si="204"/>
        <v>8.5260101901593721</v>
      </c>
      <c r="L107" t="str">
        <f t="shared" ref="L107" si="253">A107</f>
        <v>92 Elementary administration and service occupations</v>
      </c>
      <c r="M107" s="17">
        <f t="shared" si="205"/>
        <v>6.9013363509395909</v>
      </c>
      <c r="N107" s="17">
        <f t="shared" si="205"/>
        <v>-0.61238698291308236</v>
      </c>
      <c r="O107" s="17">
        <f t="shared" si="205"/>
        <v>10.672360328887009</v>
      </c>
      <c r="P107" s="17">
        <f t="shared" si="205"/>
        <v>6.0513948480857449</v>
      </c>
      <c r="Q107" s="17">
        <f t="shared" si="206"/>
        <v>7.0392970259830712</v>
      </c>
      <c r="S107" s="17">
        <f t="shared" si="207"/>
        <v>7.5698709044869084</v>
      </c>
      <c r="T107" s="17">
        <f t="shared" si="208"/>
        <v>5.1195926512984657</v>
      </c>
      <c r="U107" s="17">
        <f t="shared" si="209"/>
        <v>9.8678229934521688</v>
      </c>
      <c r="W107" t="str">
        <f t="shared" ref="W107" si="254">A107</f>
        <v>92 Elementary administration and service occupations</v>
      </c>
      <c r="X107" s="17">
        <f t="shared" si="210"/>
        <v>1.8245825240193803</v>
      </c>
      <c r="Y107" s="17">
        <f t="shared" si="210"/>
        <v>6.4227325295334481</v>
      </c>
      <c r="Z107" s="17">
        <f t="shared" si="210"/>
        <v>5.8396865312195789</v>
      </c>
      <c r="AA107" s="17">
        <f t="shared" si="210"/>
        <v>2.7320760839919078</v>
      </c>
      <c r="AB107" s="17">
        <f t="shared" si="211"/>
        <v>3.9222667785859144</v>
      </c>
      <c r="AD107" s="17">
        <f t="shared" si="212"/>
        <v>3.757673393601868</v>
      </c>
      <c r="AE107" s="17">
        <f t="shared" si="213"/>
        <v>4.5220236963757987</v>
      </c>
      <c r="AF107" s="17">
        <f t="shared" si="214"/>
        <v>6.7940131507863821</v>
      </c>
      <c r="AH107" t="str">
        <f t="shared" ref="AH107" si="255">L107</f>
        <v>92 Elementary administration and service occupations</v>
      </c>
      <c r="AI107" s="17">
        <f t="shared" si="215"/>
        <v>1.1341689912106157</v>
      </c>
      <c r="AJ107" s="17">
        <f t="shared" si="215"/>
        <v>6.6828298902125161</v>
      </c>
      <c r="AK107" s="17">
        <f t="shared" si="215"/>
        <v>5.6015628151612429</v>
      </c>
      <c r="AL107" s="17">
        <f t="shared" si="215"/>
        <v>2.8716873986576852</v>
      </c>
      <c r="AM107" s="17">
        <f t="shared" si="216"/>
        <v>3.9531863240584553</v>
      </c>
      <c r="AO107" s="17">
        <f t="shared" si="217"/>
        <v>3.7737133770503473</v>
      </c>
      <c r="AP107" s="17">
        <f t="shared" si="218"/>
        <v>4.3025053489863296</v>
      </c>
      <c r="AQ107" s="17">
        <f t="shared" si="219"/>
        <v>6.6431686686555969</v>
      </c>
      <c r="AS107" t="str">
        <f t="shared" ref="AS107" si="256">W107</f>
        <v>92 Elementary administration and service occupations</v>
      </c>
      <c r="AT107" s="17">
        <f t="shared" si="220"/>
        <v>0.60640806121932123</v>
      </c>
      <c r="AU107" s="17">
        <f t="shared" si="220"/>
        <v>12.327843399023951</v>
      </c>
      <c r="AV107" s="17">
        <f t="shared" si="220"/>
        <v>4.924314966270682</v>
      </c>
      <c r="AW107" s="17">
        <f t="shared" si="220"/>
        <v>2.8221737798909796</v>
      </c>
      <c r="AX107" s="17">
        <f t="shared" si="221"/>
        <v>4.047942466403609</v>
      </c>
      <c r="AZ107" s="17">
        <f t="shared" si="222"/>
        <v>3.5181657855842818</v>
      </c>
      <c r="BA107" s="17">
        <f t="shared" si="223"/>
        <v>4.14216339110558</v>
      </c>
      <c r="BB107" s="17">
        <f t="shared" si="224"/>
        <v>6.3498657130721892</v>
      </c>
      <c r="BD107" t="str">
        <f t="shared" ref="BD107" si="257">AH107</f>
        <v>92 Elementary administration and service occupations</v>
      </c>
      <c r="BE107" s="17">
        <f t="shared" si="225"/>
        <v>5.5456835547307293E-3</v>
      </c>
      <c r="BF107" s="17">
        <f t="shared" si="225"/>
        <v>-8.7417505507939914</v>
      </c>
      <c r="BG107" s="17">
        <f t="shared" si="225"/>
        <v>0.97593185161317653</v>
      </c>
      <c r="BH107" s="17">
        <f t="shared" si="225"/>
        <v>-0.1067091966240663</v>
      </c>
      <c r="BI107" s="17">
        <f t="shared" si="226"/>
        <v>-0.33439832701949168</v>
      </c>
      <c r="BK107" s="17">
        <f t="shared" si="227"/>
        <v>0.25287520897394611</v>
      </c>
      <c r="BL107" s="17">
        <f t="shared" si="228"/>
        <v>2.6619760316202168</v>
      </c>
      <c r="BM107" s="17">
        <f t="shared" si="229"/>
        <v>2.8380334741227253</v>
      </c>
      <c r="BO107" t="str">
        <f t="shared" ref="BO107" si="258">AS107</f>
        <v>92 Elementary administration and service occupations</v>
      </c>
      <c r="BP107" s="17">
        <f t="shared" si="230"/>
        <v>-0.95721467316781661</v>
      </c>
      <c r="BQ107" s="17">
        <f t="shared" si="230"/>
        <v>-9.58634262158089</v>
      </c>
      <c r="BR107" s="17">
        <f t="shared" si="230"/>
        <v>0.16659862884038645</v>
      </c>
      <c r="BS107" s="17">
        <f t="shared" si="230"/>
        <v>-1.8319470246108471</v>
      </c>
      <c r="BT107" s="17">
        <f t="shared" si="231"/>
        <v>-1.7184713398857299</v>
      </c>
      <c r="BV107" s="17">
        <f t="shared" si="232"/>
        <v>-1.1702354943188942</v>
      </c>
      <c r="BW107" s="17">
        <f t="shared" si="233"/>
        <v>2.6133926357855275</v>
      </c>
      <c r="BX107" s="17">
        <f t="shared" si="234"/>
        <v>1.8198903987078463</v>
      </c>
      <c r="BZ107" t="str">
        <f t="shared" ref="BZ107" si="259">BD107</f>
        <v>92 Elementary administration and service occupations</v>
      </c>
      <c r="CA107" s="17">
        <f t="shared" si="235"/>
        <v>3.5119232516590548</v>
      </c>
      <c r="CB107" s="17">
        <f t="shared" si="235"/>
        <v>-11.33927430909517</v>
      </c>
      <c r="CC107" s="17">
        <f t="shared" si="235"/>
        <v>0.27339589780923657</v>
      </c>
      <c r="CD107" s="17">
        <f t="shared" si="235"/>
        <v>-3.049428412192956</v>
      </c>
      <c r="CE107" s="17">
        <f t="shared" si="236"/>
        <v>-2.5688727432479075</v>
      </c>
      <c r="CG107" s="17">
        <f t="shared" si="237"/>
        <v>-1.9542385671589502</v>
      </c>
      <c r="CH107" s="17">
        <f t="shared" si="238"/>
        <v>1.9226673616534962</v>
      </c>
      <c r="CI107" s="17">
        <f t="shared" si="239"/>
        <v>0.47957879830204941</v>
      </c>
      <c r="CK107" t="str">
        <f t="shared" ref="CK107" si="260">BO107</f>
        <v>92 Elementary administration and service occupations</v>
      </c>
      <c r="CL107" s="17">
        <f t="shared" si="240"/>
        <v>-7.0519518472814902</v>
      </c>
      <c r="CM107" s="17">
        <f t="shared" si="240"/>
        <v>8.5710194679388572</v>
      </c>
      <c r="CN107" s="17">
        <f t="shared" si="240"/>
        <v>-6.5061690017900409</v>
      </c>
      <c r="CO107" s="17">
        <f t="shared" si="240"/>
        <v>-0.45920076193869397</v>
      </c>
      <c r="CP107" s="17">
        <f t="shared" si="241"/>
        <v>-1.8585442653732742</v>
      </c>
      <c r="CR107" s="17">
        <f t="shared" si="242"/>
        <v>-2.5171088743147774</v>
      </c>
      <c r="CS107" s="17">
        <f t="shared" si="243"/>
        <v>1.3376930091471673</v>
      </c>
      <c r="CT107" s="17">
        <f t="shared" si="244"/>
        <v>-0.67938025278270198</v>
      </c>
    </row>
    <row r="108" spans="1:98" x14ac:dyDescent="0.2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2">
      <c r="A109" s="23" t="str">
        <f>A35</f>
        <v>All occupations</v>
      </c>
      <c r="B109" s="25">
        <f>IF(AND(C$6-B$6 &lt;&gt; 0,B35&lt;&gt;0,C35&lt;&gt;0),(EXP(LN(C35/B35)/(C$6-B$6))-1)*100,0)</f>
        <v>6.9149176423377812</v>
      </c>
      <c r="C109" s="25">
        <f>IF(AND(D$6-C$6 &lt;&gt; 0,C35&lt;&gt;0,D35&lt;&gt;0),(EXP(LN(D35/C35)/(D$6-C$6))-1)*100,0)</f>
        <v>-1.857474908366108</v>
      </c>
      <c r="D109" s="25">
        <f>IF(AND(E$6-D$6 &lt;&gt; 0,D35&lt;&gt;0,E35&lt;&gt;0),(EXP(LN(E35/D35)/(E$6-D$6))-1)*100,0)</f>
        <v>5.6545629408040643</v>
      </c>
      <c r="E109" s="25">
        <f>IF(AND(F$6-E$6 &lt;&gt; 0,E35&lt;&gt;0,F35&lt;&gt;0),(EXP(LN(F35/E35)/(F$6-E$6))-1)*100,0)</f>
        <v>4.0031796709415701</v>
      </c>
      <c r="F109" s="25">
        <f>IF(AND(F$6-C$6 &lt;&gt; 0,C35&lt;&gt;0,F35&lt;&gt;0),(EXP(LN(F35/C35)/(F$6-C$6))-1)*100,0)</f>
        <v>4.1382542515293386</v>
      </c>
      <c r="H109" s="25">
        <f>IF($F$6-$D$6 &lt;&gt; 0,(EXP(LN(1+(H72/100))/($F$6-$D$6))-1)*100,0)</f>
        <v>4.550752748382747</v>
      </c>
      <c r="I109" s="25">
        <f>IF(D35&gt;0,((1+(I35/D35))^(1/($F$6-$D$6))-1)*100,0)</f>
        <v>3.6306680793456225</v>
      </c>
      <c r="J109" s="25">
        <f>IF($F$6-$D$6 &lt;&gt; 0,(EXP(LN(1+(J72/100))/($F$6-$D$6))-1)*100,0)</f>
        <v>6.7309673575124851</v>
      </c>
      <c r="L109" s="23" t="str">
        <f>L35</f>
        <v>All occupations</v>
      </c>
      <c r="M109" s="25">
        <f>IF(AND(N$6-M$6 &lt;&gt; 0,M35&lt;&gt;0,N35&lt;&gt;0),(EXP(LN(N35/M35)/(N$6-M$6))-1)*100,0)</f>
        <v>7.0972808388459763</v>
      </c>
      <c r="N109" s="25">
        <f>IF(AND(O$6-N$6 &lt;&gt; 0,N35&lt;&gt;0,O35&lt;&gt;0),(EXP(LN(O35/N35)/(O$6-N$6))-1)*100,0)</f>
        <v>1.8334258011691196</v>
      </c>
      <c r="O109" s="25">
        <f>IF(AND(P$6-O$6 &lt;&gt; 0,O35&lt;&gt;0,P35&lt;&gt;0),(EXP(LN(P35/O35)/(P$6-O$6))-1)*100,0)</f>
        <v>5.4974157067957607</v>
      </c>
      <c r="P109" s="25">
        <f>IF(AND(Q$6-P$6 &lt;&gt; 0,P35&lt;&gt;0,Q35&lt;&gt;0),(EXP(LN(Q35/P35)/(Q$6-P$6))-1)*100,0)</f>
        <v>4.0424840418846086</v>
      </c>
      <c r="Q109" s="25">
        <f>IF(AND(Q$6-N$6 &lt;&gt; 0,N35&lt;&gt;0,Q35&lt;&gt;0),(EXP(LN(Q35/N35)/(Q$6-N$6))-1)*100,0)</f>
        <v>4.3549157027808372</v>
      </c>
      <c r="S109" s="25">
        <f t="shared" ref="S109" si="261">IF($F$6-$D$6 &lt;&gt; 0,(EXP(LN(1+(S72/100))/($F$6-$D$6))-1)*100,0)</f>
        <v>4.5252180212283388</v>
      </c>
      <c r="T109" s="25">
        <f t="shared" ref="T109" si="262">IF(O35&gt;0,((1+(T35/O35))^(1/($F$6-$D$6))-1)*100,0)</f>
        <v>3.7898340469856517</v>
      </c>
      <c r="U109" s="25">
        <f t="shared" ref="U109" si="263">IF($F$6-$D$6 &lt;&gt; 0,(EXP(LN(1+(U72/100))/($F$6-$D$6))-1)*100,0)</f>
        <v>6.8178628076051906</v>
      </c>
      <c r="W109" s="23" t="str">
        <f>W35</f>
        <v>All occupations</v>
      </c>
      <c r="X109" s="25">
        <f>IF(AND(Y$6-X$6 &lt;&gt; 0,X35&lt;&gt;0,Y35&lt;&gt;0),(EXP(LN(Y35/X35)/(Y$6-X$6))-1)*100,0)</f>
        <v>0.95412238108201208</v>
      </c>
      <c r="Y109" s="25">
        <f>IF(AND(Z$6-Y$6 &lt;&gt; 0,Y35&lt;&gt;0,Z35&lt;&gt;0),(EXP(LN(Z35/Y35)/(Z$6-Y$6))-1)*100,0)</f>
        <v>5.0529512440022906</v>
      </c>
      <c r="Z109" s="25">
        <f>IF(AND(AA$6-Z$6 &lt;&gt; 0,Z35&lt;&gt;0,AA35&lt;&gt;0),(EXP(LN(AA35/Z35)/(AA$6-Z$6))-1)*100,0)</f>
        <v>2.3593943011804841</v>
      </c>
      <c r="AA109" s="25">
        <f>IF(AND(AB$6-AA$6 &lt;&gt; 0,AA35&lt;&gt;0,AB35&lt;&gt;0),(EXP(LN(AB35/AA35)/(AB$6-AA$6))-1)*100,0)</f>
        <v>1.2982763025434663</v>
      </c>
      <c r="AB109" s="25">
        <f>IF(AND(AB$6-Y$6 &lt;&gt; 0,Y35&lt;&gt;0,AB35&lt;&gt;0),(EXP(LN(AB35/Y35)/(AB$6-Y$6))-1)*100,0)</f>
        <v>1.8601260542429054</v>
      </c>
      <c r="AD109" s="25">
        <f t="shared" ref="AD109" si="264">IF($F$6-$D$6 &lt;&gt; 0,(EXP(LN(1+(AD72/100))/($F$6-$D$6))-1)*100,0)</f>
        <v>1.6507543946363779</v>
      </c>
      <c r="AE109" s="25">
        <f t="shared" ref="AE109" si="265">IF(Z35&gt;0,((1+(AE35/Z35))^(1/($F$6-$D$6))-1)*100,0)</f>
        <v>3.4272195807331318</v>
      </c>
      <c r="AF109" s="25">
        <f t="shared" ref="AF109" si="266">IF($F$6-$D$6 &lt;&gt; 0,(EXP(LN(1+(AF72/100))/($F$6-$D$6))-1)*100,0)</f>
        <v>4.5030921011452341</v>
      </c>
      <c r="AH109" s="23" t="str">
        <f>AH35</f>
        <v>All occupations</v>
      </c>
      <c r="AI109" s="25">
        <f>IF(AND(AJ$6-AI$6 &lt;&gt; 0,AI35&lt;&gt;0,AJ35&lt;&gt;0),(EXP(LN(AJ35/AI35)/(AJ$6-AI$6))-1)*100,0)</f>
        <v>-2.302766894303987</v>
      </c>
      <c r="AJ109" s="25">
        <f>IF(AND(AK$6-AJ$6 &lt;&gt; 0,AJ35&lt;&gt;0,AK35&lt;&gt;0),(EXP(LN(AK35/AJ35)/(AK$6-AJ$6))-1)*100,0)</f>
        <v>5.3951680852280193</v>
      </c>
      <c r="AK109" s="25">
        <f>IF(AND(AL$6-AK$6 &lt;&gt; 0,AK35&lt;&gt;0,AL35&lt;&gt;0),(EXP(LN(AL35/AK35)/(AL$6-AK$6))-1)*100,0)</f>
        <v>1.035440334926796</v>
      </c>
      <c r="AL109" s="25">
        <f>IF(AND(AM$6-AL$6 &lt;&gt; 0,AL35&lt;&gt;0,AM35&lt;&gt;0),(EXP(LN(AM35/AL35)/(AM$6-AL$6))-1)*100,0)</f>
        <v>1.0479208864656142</v>
      </c>
      <c r="AM109" s="25">
        <f>IF(AND(AM$6-AJ$6 &lt;&gt; 0,AJ35&lt;&gt;0,AM35&lt;&gt;0),(EXP(LN(AM35/AJ35)/(AM$6-AJ$6))-1)*100,0)</f>
        <v>1.3103815361530824</v>
      </c>
      <c r="AO109" s="25">
        <f t="shared" ref="AO109" si="267">IF($F$6-$D$6 &lt;&gt; 0,(EXP(LN(1+(AO72/100))/($F$6-$D$6))-1)*100,0)</f>
        <v>1.0437605313311282</v>
      </c>
      <c r="AP109" s="25">
        <f t="shared" ref="AP109" si="268">IF(AK35&gt;0,((1+(AP35/AK35))^(1/($F$6-$D$6))-1)*100,0)</f>
        <v>3.2024704877274601</v>
      </c>
      <c r="AQ109" s="25">
        <f t="shared" ref="AQ109" si="269">IF($F$6-$D$6 &lt;&gt; 0,(EXP(LN(1+(AQ72/100))/($F$6-$D$6))-1)*100,0)</f>
        <v>3.8919489504750882</v>
      </c>
      <c r="AS109" s="23" t="str">
        <f>AS35</f>
        <v>All occupations</v>
      </c>
      <c r="AT109" s="25">
        <f>IF(AND(AU$6-AT$6 &lt;&gt; 0,AT35&lt;&gt;0,AU35&lt;&gt;0),(EXP(LN(AU35/AT35)/(AU$6-AT$6))-1)*100,0)</f>
        <v>6.5506651219737755E-2</v>
      </c>
      <c r="AU109" s="25">
        <f>IF(AND(AV$6-AU$6 &lt;&gt; 0,AU35&lt;&gt;0,AV35&lt;&gt;0),(EXP(LN(AV35/AU35)/(AV$6-AU$6))-1)*100,0)</f>
        <v>5.0247472588244024</v>
      </c>
      <c r="AV109" s="25">
        <f>IF(AND(AW$6-AV$6 &lt;&gt; 0,AV35&lt;&gt;0,AW35&lt;&gt;0),(EXP(LN(AW35/AV35)/(AW$6-AV$6))-1)*100,0)</f>
        <v>1.9813188739991272</v>
      </c>
      <c r="AW109" s="25">
        <f>IF(AND(AX$6-AW$6 &lt;&gt; 0,AW35&lt;&gt;0,AX35&lt;&gt;0),(EXP(LN(AX35/AW35)/(AX$6-AW$6))-1)*100,0)</f>
        <v>1.2947854494973488</v>
      </c>
      <c r="AX109" s="25">
        <f>IF(AND(AX$6-AU$6 &lt;&gt; 0,AU35&lt;&gt;0,AX35&lt;&gt;0),(EXP(LN(AX35/AU35)/(AX$6-AU$6))-1)*100,0)</f>
        <v>1.7385054344956741</v>
      </c>
      <c r="AZ109" s="25">
        <f t="shared" ref="AZ109" si="270">IF($F$6-$D$6 &lt;&gt; 0,(EXP(LN(1+(AZ72/100))/($F$6-$D$6))-1)*100,0)</f>
        <v>1.5231148584186727</v>
      </c>
      <c r="BA109" s="25">
        <f t="shared" ref="BA109" si="271">IF(AV35&gt;0,((1+(BA35/AV35))^(1/($F$6-$D$6))-1)*100,0)</f>
        <v>3.2724422201666714</v>
      </c>
      <c r="BB109" s="25">
        <f t="shared" ref="BB109" si="272">IF($F$6-$D$6 &lt;&gt; 0,(EXP(LN(1+(BB72/100))/($F$6-$D$6))-1)*100,0)</f>
        <v>4.2814387335986526</v>
      </c>
      <c r="BD109" s="23" t="str">
        <f>BD35</f>
        <v>All occupations</v>
      </c>
      <c r="BE109" s="25">
        <f>IF(AND(BF$6-BE$6 &lt;&gt; 0,BE35&lt;&gt;0,BF35&lt;&gt;0),(EXP(LN(BF35/BE35)/(BF$6-BE$6))-1)*100,0)</f>
        <v>1.426029750808655</v>
      </c>
      <c r="BF109" s="25">
        <f>IF(AND(BG$6-BF$6 &lt;&gt; 0,BF35&lt;&gt;0,BG35&lt;&gt;0),(EXP(LN(BG35/BF35)/(BG$6-BF$6))-1)*100,0)</f>
        <v>-4.6128461107530434</v>
      </c>
      <c r="BG109" s="25">
        <f>IF(AND(BH$6-BG$6 &lt;&gt; 0,BG35&lt;&gt;0,BH35&lt;&gt;0),(EXP(LN(BH35/BG35)/(BH$6-BG$6))-1)*100,0)</f>
        <v>0.70700630552600341</v>
      </c>
      <c r="BH109" s="25">
        <f>IF(AND(BI$6-BH$6 &lt;&gt; 0,BH35&lt;&gt;0,BI35&lt;&gt;0),(EXP(LN(BI35/BH35)/(BI$6-BH$6))-1)*100,0)</f>
        <v>0.4370770671509483</v>
      </c>
      <c r="BI109" s="25">
        <f>IF(AND(BI$6-BF$6 &lt;&gt; 0,BF35&lt;&gt;0,BI35&lt;&gt;0),(EXP(LN(BI35/BF35)/(BI$6-BF$6))-1)*100,0)</f>
        <v>0.19777112710290812</v>
      </c>
      <c r="BK109" s="25">
        <f t="shared" ref="BK109" si="273">IF($F$6-$D$6 &lt;&gt; 0,(EXP(LN(1+(BK72/100))/($F$6-$D$6))-1)*100,0)</f>
        <v>0.52697299483601689</v>
      </c>
      <c r="BL109" s="25">
        <f t="shared" ref="BL109" si="274">IF(BG35&gt;0,((1+(BL35/BG35))^(1/($F$6-$D$6))-1)*100,0)</f>
        <v>2.5187838810816432</v>
      </c>
      <c r="BM109" s="25">
        <f t="shared" ref="BM109" si="275">IF($F$6-$D$6 &lt;&gt; 0,(EXP(LN(1+(BM72/100))/($F$6-$D$6))-1)*100,0)</f>
        <v>2.8950023311023809</v>
      </c>
      <c r="BO109" s="23" t="str">
        <f>BO35</f>
        <v>All occupations</v>
      </c>
      <c r="BP109" s="25">
        <f>IF(AND(BQ$6-BP$6 &lt;&gt; 0,BP35&lt;&gt;0,BQ35&lt;&gt;0),(EXP(LN(BQ35/BP35)/(BQ$6-BP$6))-1)*100,0)</f>
        <v>-1.3552493965893309</v>
      </c>
      <c r="BQ109" s="25">
        <f>IF(AND(BR$6-BQ$6 &lt;&gt; 0,BQ35&lt;&gt;0,BR35&lt;&gt;0),(EXP(LN(BR35/BQ35)/(BR$6-BQ$6))-1)*100,0)</f>
        <v>-5.2048471086427073</v>
      </c>
      <c r="BR109" s="25">
        <f>IF(AND(BS$6-BR$6 &lt;&gt; 0,BR35&lt;&gt;0,BS35&lt;&gt;0),(EXP(LN(BS35/BR35)/(BS$6-BR$6))-1)*100,0)</f>
        <v>-1.6802753359882572</v>
      </c>
      <c r="BS109" s="25">
        <f>IF(AND(BT$6-BS$6 &lt;&gt; 0,BS35&lt;&gt;0,BT35&lt;&gt;0),(EXP(LN(BT35/BS35)/(BT$6-BS$6))-1)*100,0)</f>
        <v>-2.2921944644814896</v>
      </c>
      <c r="BT109" s="25">
        <f>IF(AND(BT$6-BQ$6 &lt;&gt; 0,BQ35&lt;&gt;0,BT35&lt;&gt;0),(EXP(LN(BT35/BQ35)/(BT$6-BQ$6))-1)*100,0)</f>
        <v>-2.286375120507611</v>
      </c>
      <c r="BV109" s="25">
        <f t="shared" ref="BV109" si="276">IF($F$6-$D$6 &lt;&gt; 0,(EXP(LN(1+(BV72/100))/($F$6-$D$6))-1)*100,0)</f>
        <v>-2.0886457567092176</v>
      </c>
      <c r="BW109" s="25">
        <f t="shared" ref="BW109" si="277">IF(BR35&gt;0,((1+(BW35/BR35))^(1/($F$6-$D$6))-1)*100,0)</f>
        <v>2.3029114473887224</v>
      </c>
      <c r="BX109" s="25">
        <f t="shared" ref="BX109" si="278">IF($F$6-$D$6 &lt;&gt; 0,(EXP(LN(1+(BX72/100))/($F$6-$D$6))-1)*100,0)</f>
        <v>0.85190594002710895</v>
      </c>
      <c r="BZ109" s="23" t="str">
        <f>BZ35</f>
        <v>All occupations</v>
      </c>
      <c r="CA109" s="25">
        <f>IF(AND(CB$6-CA$6 &lt;&gt; 0,CA35&lt;&gt;0,CB35&lt;&gt;0),(EXP(LN(CB35/CA35)/(CB$6-CA$6))-1)*100,0)</f>
        <v>3.631935761189875</v>
      </c>
      <c r="CB109" s="25">
        <f>IF(AND(CC$6-CB$6 &lt;&gt; 0,CB35&lt;&gt;0,CC35&lt;&gt;0),(EXP(LN(CC35/CB35)/(CC$6-CB$6))-1)*100,0)</f>
        <v>-9.2240300201758672</v>
      </c>
      <c r="CC109" s="25">
        <f>IF(AND(CD$6-CC$6 &lt;&gt; 0,CC35&lt;&gt;0,CD35&lt;&gt;0),(EXP(LN(CD35/CC35)/(CD$6-CC$6))-1)*100,0)</f>
        <v>-1.9089372369289759</v>
      </c>
      <c r="CD109" s="25">
        <f>IF(AND(CE$6-CD$6 &lt;&gt; 0,CD35&lt;&gt;0,CE35&lt;&gt;0),(EXP(LN(CE35/CD35)/(CE$6-CD$6))-1)*100,0)</f>
        <v>-3.2157924797725057</v>
      </c>
      <c r="CE109" s="25">
        <f>IF(AND(CE$6-CB$6 &lt;&gt; 0,CB35&lt;&gt;0,CE35&lt;&gt;0),(EXP(LN(CE35/CB35)/(CE$6-CB$6))-1)*100,0)</f>
        <v>-3.1978077884626699</v>
      </c>
      <c r="CG109" s="25">
        <f t="shared" ref="CG109" si="279">IF($F$6-$D$6 &lt;&gt; 0,(EXP(LN(1+(CG72/100))/($F$6-$D$6))-1)*100,0)</f>
        <v>-2.7821201740402812</v>
      </c>
      <c r="CH109" s="25">
        <f t="shared" ref="CH109" si="280">IF(CC35&gt;0,((1+(CH35/CC35))^(1/($F$6-$D$6))-1)*100,0)</f>
        <v>1.7583942462374935</v>
      </c>
      <c r="CI109" s="25">
        <f t="shared" ref="CI109" si="281">IF($F$6-$D$6 &lt;&gt; 0,(EXP(LN(1+(CI72/100))/($F$6-$D$6))-1)*100,0)</f>
        <v>-0.31512376394522423</v>
      </c>
      <c r="CK109" s="23" t="str">
        <f>CK35</f>
        <v>All occupations</v>
      </c>
      <c r="CL109" s="25">
        <f>IF(AND(CM$6-CL$6 &lt;&gt; 0,CL35&lt;&gt;0,CM35&lt;&gt;0),(EXP(LN(CM35/CL35)/(CM$6-CL$6))-1)*100,0)</f>
        <v>-2.2439676058210734</v>
      </c>
      <c r="CM109" s="25">
        <f>IF(AND(CN$6-CM$6 &lt;&gt; 0,CM35&lt;&gt;0,CN35&lt;&gt;0),(EXP(LN(CN35/CM35)/(CN$6-CM$6))-1)*100,0)</f>
        <v>21.153612452986149</v>
      </c>
      <c r="CN109" s="25">
        <f>IF(AND(CO$6-CN$6 &lt;&gt; 0,CN35&lt;&gt;0,CO35&lt;&gt;0),(EXP(LN(CO35/CN35)/(CO$6-CN$6))-1)*100,0)</f>
        <v>-5.6715294093563013</v>
      </c>
      <c r="CO109" s="25">
        <f>IF(AND(CP$6-CO$6 &lt;&gt; 0,CO35&lt;&gt;0,CP35&lt;&gt;0),(EXP(LN(CP35/CO35)/(CP$6-CO$6))-1)*100,0)</f>
        <v>-2.7806587059474142</v>
      </c>
      <c r="CP109" s="25">
        <f>IF(AND(CP$6-CM$6 &lt;&gt; 0,CM35&lt;&gt;0,CP35&lt;&gt;0),(EXP(LN(CP35/CM35)/(CP$6-CM$6))-1)*100,0)</f>
        <v>-2.3595399075755141</v>
      </c>
      <c r="CR109" s="25">
        <f t="shared" ref="CR109" si="282">IF($F$6-$D$6 &lt;&gt; 0,(EXP(LN(1+(CR72/100))/($F$6-$D$6))-1)*100,0)</f>
        <v>-3.7539945490840498</v>
      </c>
      <c r="CS109" s="25">
        <f t="shared" ref="CS109" si="283">IF(CN35&gt;0,((1+(CS35/CN35))^(1/($F$6-$D$6))-1)*100,0)</f>
        <v>1.441197236483327</v>
      </c>
      <c r="CT109" s="25">
        <f t="shared" ref="CT109" si="284">IF($F$6-$D$6 &lt;&gt; 0,(EXP(LN(1+(CT72/100))/($F$6-$D$6))-1)*100,0)</f>
        <v>-1.4543766843642669</v>
      </c>
    </row>
    <row r="112" spans="1:98" ht="47.25" customHeight="1" x14ac:dyDescent="0.2">
      <c r="A112" s="378" t="str">
        <f>CONCATENATE(A$1," (Continued)")</f>
        <v>Basic Table 2  Employment Change by Occupation and Replacement Demand, RQF8 Doctorate, 2015-2035, South West (Continued)</v>
      </c>
      <c r="B112" s="378"/>
      <c r="C112" s="378"/>
      <c r="D112" s="378"/>
      <c r="E112" s="378"/>
      <c r="F112" s="378"/>
      <c r="G112" s="378"/>
      <c r="H112" s="378"/>
      <c r="I112" s="378"/>
      <c r="J112" s="378"/>
      <c r="L112" s="378" t="str">
        <f>CONCATENATE(L$1," (Continued)")</f>
        <v>Basic Table 2.1  Employment Change by Occupation and Replacement Demand, RQF7 Other higher degree, 2015-2035, South West (Continued)</v>
      </c>
      <c r="M112" s="378"/>
      <c r="N112" s="378"/>
      <c r="O112" s="378"/>
      <c r="P112" s="378"/>
      <c r="Q112" s="378"/>
      <c r="R112" s="378"/>
      <c r="S112" s="378"/>
      <c r="T112" s="378"/>
      <c r="U112" s="378"/>
      <c r="W112" s="378" t="str">
        <f>CONCATENATE(W$1," (Continued)")</f>
        <v>Basic Table 2.2  Employment Change by Occupation and Replacement Demand, RQF6 First degree, 2015-2035, South West (Continued)</v>
      </c>
      <c r="X112" s="378"/>
      <c r="Y112" s="378"/>
      <c r="Z112" s="378"/>
      <c r="AA112" s="378"/>
      <c r="AB112" s="378"/>
      <c r="AC112" s="378"/>
      <c r="AD112" s="378"/>
      <c r="AE112" s="378"/>
      <c r="AF112" s="378"/>
      <c r="AH112" s="378" t="str">
        <f>CONCATENATE(AH$1," (Continued)")</f>
        <v>Basic Table 2.3  Employment Change by Occupation and Replacement Demand, RQF5 Foundation degree;Nursing;Teaching, 2015-2035, South West (Continued)</v>
      </c>
      <c r="AI112" s="378"/>
      <c r="AJ112" s="378"/>
      <c r="AK112" s="378"/>
      <c r="AL112" s="378"/>
      <c r="AM112" s="378"/>
      <c r="AN112" s="378"/>
      <c r="AO112" s="378"/>
      <c r="AP112" s="378"/>
      <c r="AQ112" s="378"/>
      <c r="AS112" s="378" t="str">
        <f>CONCATENATE(AS$1," (Continued)")</f>
        <v>Basic Table 2.4  Employment Change by Occupation and Replacement Demand, RQF4 HE below degree level, 2015-2035, South West (Continued)</v>
      </c>
      <c r="AT112" s="378"/>
      <c r="AU112" s="378"/>
      <c r="AV112" s="378"/>
      <c r="AW112" s="378"/>
      <c r="AX112" s="378"/>
      <c r="AY112" s="378"/>
      <c r="AZ112" s="378"/>
      <c r="BA112" s="378"/>
      <c r="BB112" s="378"/>
      <c r="BD112" s="378" t="str">
        <f>CONCATENATE(BD$1," (Continued)")</f>
        <v>Basic Table 2.5  Employment Change by Occupation and Replacement Demand, RQF3 A level &amp; equivalent, 2015-2035, South West (Continued)</v>
      </c>
      <c r="BE112" s="378"/>
      <c r="BF112" s="378"/>
      <c r="BG112" s="378"/>
      <c r="BH112" s="378"/>
      <c r="BI112" s="378"/>
      <c r="BJ112" s="378"/>
      <c r="BK112" s="378"/>
      <c r="BL112" s="378"/>
      <c r="BM112" s="378"/>
      <c r="BO112" s="378" t="str">
        <f>CONCATENATE(BO$1," (Continued)")</f>
        <v>Basic Table 2.6  Employment Change by Occupation and Replacement Demand, RQF2 GCSE(A-C) &amp; equivalent, 2015-2035, South West (Continued)</v>
      </c>
      <c r="BP112" s="378"/>
      <c r="BQ112" s="378"/>
      <c r="BR112" s="378"/>
      <c r="BS112" s="378"/>
      <c r="BT112" s="378"/>
      <c r="BU112" s="378"/>
      <c r="BV112" s="378"/>
      <c r="BW112" s="378"/>
      <c r="BX112" s="378"/>
      <c r="BZ112" s="378" t="str">
        <f>CONCATENATE(BZ$1," (Continued)")</f>
        <v>Basic Table 2.7  Employment Change by Occupation and Replacement Demand, RQF1 GCSE(below grade C) &amp; equivalent, 2015-2035, South West (Continued)</v>
      </c>
      <c r="CA112" s="378"/>
      <c r="CB112" s="378"/>
      <c r="CC112" s="378"/>
      <c r="CD112" s="378"/>
      <c r="CE112" s="378"/>
      <c r="CF112" s="378"/>
      <c r="CG112" s="378"/>
      <c r="CH112" s="378"/>
      <c r="CI112" s="378"/>
      <c r="CK112" s="378" t="str">
        <f>CONCATENATE(CK$1," (Continued)")</f>
        <v>Basic Table 2.8  Employment Change by Occupation and Replacement Demand, No Qualification, 2015-2035, South West (Continued)</v>
      </c>
      <c r="CL112" s="378"/>
      <c r="CM112" s="378"/>
      <c r="CN112" s="378"/>
      <c r="CO112" s="378"/>
      <c r="CP112" s="378"/>
      <c r="CQ112" s="378"/>
      <c r="CR112" s="378"/>
      <c r="CS112" s="378"/>
      <c r="CT112" s="378"/>
    </row>
    <row r="114" spans="1:94" x14ac:dyDescent="0.2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2">
      <c r="A119" t="str">
        <f t="shared" ref="A119:A144" si="285">A8</f>
        <v>11 Corporate managers and directors</v>
      </c>
      <c r="B119" s="26">
        <f t="shared" ref="B119:E144" si="286">C8-B8</f>
        <v>0.94968871819155165</v>
      </c>
      <c r="C119" s="26">
        <f t="shared" si="286"/>
        <v>8.7604220480294703E-2</v>
      </c>
      <c r="D119" s="26">
        <f t="shared" si="286"/>
        <v>0.88465416346235015</v>
      </c>
      <c r="E119" s="26">
        <f t="shared" si="286"/>
        <v>2.3868662267363145</v>
      </c>
      <c r="F119" s="26">
        <f t="shared" ref="F119:F144" si="287">F8-D8</f>
        <v>3.2715203901986647</v>
      </c>
      <c r="L119" t="str">
        <f>A119</f>
        <v>11 Corporate managers and directors</v>
      </c>
      <c r="M119" s="26">
        <f t="shared" ref="M119:P144" si="288">N8-M8</f>
        <v>8.0787950755111915</v>
      </c>
      <c r="N119" s="26">
        <f t="shared" si="288"/>
        <v>0.24244232596356596</v>
      </c>
      <c r="O119" s="26">
        <f t="shared" si="288"/>
        <v>5.4202298809955209</v>
      </c>
      <c r="P119" s="26">
        <f t="shared" si="288"/>
        <v>17.392464227142618</v>
      </c>
      <c r="Q119" s="26">
        <f t="shared" ref="Q119:Q144" si="289">Q8-O8</f>
        <v>22.812694108138139</v>
      </c>
      <c r="W119" t="str">
        <f>A119</f>
        <v>11 Corporate managers and directors</v>
      </c>
      <c r="X119" s="26">
        <f t="shared" ref="X119:AA144" si="290">Y8-X8</f>
        <v>8.387586799987595</v>
      </c>
      <c r="Y119" s="26">
        <f t="shared" si="290"/>
        <v>1.4471979454389938</v>
      </c>
      <c r="Z119" s="26">
        <f t="shared" si="290"/>
        <v>-0.1011379512081092</v>
      </c>
      <c r="AA119" s="26">
        <f t="shared" si="290"/>
        <v>7.2020783638863932</v>
      </c>
      <c r="AB119" s="26">
        <f t="shared" ref="AB119:AB144" si="291">AB8-Z8</f>
        <v>7.100940412678284</v>
      </c>
      <c r="AH119" t="str">
        <f>L119</f>
        <v>11 Corporate managers and directors</v>
      </c>
      <c r="AI119" s="26">
        <f t="shared" ref="AI119:AL144" si="292">AJ8-AI8</f>
        <v>0.82386983071596909</v>
      </c>
      <c r="AJ119" s="26">
        <f t="shared" si="292"/>
        <v>1.0658114736302</v>
      </c>
      <c r="AK119" s="26">
        <f t="shared" si="292"/>
        <v>-0.68006334983376249</v>
      </c>
      <c r="AL119" s="26">
        <f t="shared" si="292"/>
        <v>0.70176713456528184</v>
      </c>
      <c r="AM119" s="26">
        <f t="shared" ref="AM119:AM144" si="293">AM8-AK8</f>
        <v>2.1703784731519349E-2</v>
      </c>
      <c r="AS119" t="str">
        <f>W119</f>
        <v>11 Corporate managers and directors</v>
      </c>
      <c r="AT119" s="26">
        <f t="shared" ref="AT119:AW144" si="294">AU8-AT8</f>
        <v>1.1759235688093383</v>
      </c>
      <c r="AU119" s="26">
        <f t="shared" si="294"/>
        <v>1.3071642611863208</v>
      </c>
      <c r="AV119" s="26">
        <f t="shared" si="294"/>
        <v>-1.0182549636243667</v>
      </c>
      <c r="AW119" s="26">
        <f t="shared" si="294"/>
        <v>1.1784915440944825</v>
      </c>
      <c r="AX119" s="26">
        <f t="shared" ref="AX119:AX144" si="295">AX8-AV8</f>
        <v>0.1602365804701158</v>
      </c>
      <c r="BD119" t="str">
        <f>AH119</f>
        <v>11 Corporate managers and directors</v>
      </c>
      <c r="BE119" s="26">
        <f t="shared" ref="BE119:BH144" si="296">BF8-BE8</f>
        <v>7.2266353759916271</v>
      </c>
      <c r="BF119" s="26">
        <f t="shared" si="296"/>
        <v>0.47134839634903614</v>
      </c>
      <c r="BG119" s="26">
        <f t="shared" si="296"/>
        <v>-6.2417071892311498</v>
      </c>
      <c r="BH119" s="26">
        <f t="shared" si="296"/>
        <v>1.3847800634643264</v>
      </c>
      <c r="BI119" s="26">
        <f t="shared" ref="BI119:BI144" si="297">BI8-BG8</f>
        <v>-4.8569271257668234</v>
      </c>
      <c r="BO119" t="str">
        <f>AS119</f>
        <v>11 Corporate managers and directors</v>
      </c>
      <c r="BP119" s="26">
        <f t="shared" ref="BP119:BS144" si="298">BQ8-BP8</f>
        <v>1.5885683779657356</v>
      </c>
      <c r="BQ119" s="26">
        <f t="shared" si="298"/>
        <v>1.6124905826373315</v>
      </c>
      <c r="BR119" s="26">
        <f t="shared" si="298"/>
        <v>-7.7545834269089049</v>
      </c>
      <c r="BS119" s="26">
        <f t="shared" si="298"/>
        <v>-5.9703093139309438</v>
      </c>
      <c r="BT119" s="26">
        <f t="shared" ref="BT119:BT144" si="299">BT8-BR8</f>
        <v>-13.724892740839849</v>
      </c>
      <c r="BZ119" t="str">
        <f>BD119</f>
        <v>11 Corporate managers and directors</v>
      </c>
      <c r="CA119" s="67">
        <f t="shared" ref="CA119:CD144" si="300">CB8-CA8</f>
        <v>6.2767822917833591</v>
      </c>
      <c r="CB119" s="67">
        <f t="shared" si="300"/>
        <v>-0.26582091862816171</v>
      </c>
      <c r="CC119" s="67">
        <f t="shared" si="300"/>
        <v>-3.0826919548322387</v>
      </c>
      <c r="CD119" s="67">
        <f t="shared" si="300"/>
        <v>-2.0371376659093237</v>
      </c>
      <c r="CE119" s="67">
        <f t="shared" ref="CE119:CE144" si="301">CE8-CC8</f>
        <v>-5.1198296207415623</v>
      </c>
      <c r="CK119" t="str">
        <f>BO119</f>
        <v>11 Corporate managers and directors</v>
      </c>
      <c r="CL119" s="67">
        <f t="shared" ref="CL119:CO144" si="302">CM8-CL8</f>
        <v>0.80204828827094676</v>
      </c>
      <c r="CM119" s="67">
        <f t="shared" si="302"/>
        <v>0.85828716026266516</v>
      </c>
      <c r="CN119" s="67">
        <f t="shared" si="302"/>
        <v>-0.96860420409158721</v>
      </c>
      <c r="CO119" s="67">
        <f t="shared" si="302"/>
        <v>-0.51909415217264332</v>
      </c>
      <c r="CP119" s="67">
        <f t="shared" ref="CP119:CP144" si="303">CP8-CN8</f>
        <v>-1.4876983562642305</v>
      </c>
    </row>
    <row r="120" spans="1:94" x14ac:dyDescent="0.2">
      <c r="A120" t="str">
        <f t="shared" si="285"/>
        <v>12 Other managers and proprietors</v>
      </c>
      <c r="B120" s="26">
        <f t="shared" si="286"/>
        <v>0.41491737387025562</v>
      </c>
      <c r="C120" s="26">
        <f t="shared" si="286"/>
        <v>-0.16750364688132069</v>
      </c>
      <c r="D120" s="26">
        <f t="shared" si="286"/>
        <v>1.0114481872485312</v>
      </c>
      <c r="E120" s="26">
        <f t="shared" si="286"/>
        <v>1.6185250917107283</v>
      </c>
      <c r="F120" s="26">
        <f t="shared" si="287"/>
        <v>2.6299732789592598</v>
      </c>
      <c r="L120" t="str">
        <f t="shared" ref="L120:L143" si="304">A120</f>
        <v>12 Other managers and proprietors</v>
      </c>
      <c r="M120" s="26">
        <f t="shared" si="288"/>
        <v>3.170018524661014</v>
      </c>
      <c r="N120" s="26">
        <f t="shared" si="288"/>
        <v>-8.4213511774271055E-2</v>
      </c>
      <c r="O120" s="26">
        <f t="shared" si="288"/>
        <v>7.6489761611777123</v>
      </c>
      <c r="P120" s="26">
        <f t="shared" si="288"/>
        <v>13.698838765443881</v>
      </c>
      <c r="Q120" s="26">
        <f t="shared" si="289"/>
        <v>21.347814926621595</v>
      </c>
      <c r="W120" t="str">
        <f t="shared" ref="W120:W143" si="305">A120</f>
        <v>12 Other managers and proprietors</v>
      </c>
      <c r="X120" s="26">
        <f t="shared" si="290"/>
        <v>2.3078843255317132</v>
      </c>
      <c r="Y120" s="26">
        <f t="shared" si="290"/>
        <v>0.3261655274386861</v>
      </c>
      <c r="Z120" s="26">
        <f t="shared" si="290"/>
        <v>9.6571101112285049</v>
      </c>
      <c r="AA120" s="26">
        <f t="shared" si="290"/>
        <v>7.6315887008883223</v>
      </c>
      <c r="AB120" s="26">
        <f t="shared" si="291"/>
        <v>17.288698812116827</v>
      </c>
      <c r="AH120" t="str">
        <f t="shared" ref="AH120:AH143" si="306">L120</f>
        <v>12 Other managers and proprietors</v>
      </c>
      <c r="AI120" s="26">
        <f t="shared" si="292"/>
        <v>0.39109003252631602</v>
      </c>
      <c r="AJ120" s="26">
        <f t="shared" si="292"/>
        <v>0.59780143031760513</v>
      </c>
      <c r="AK120" s="26">
        <f t="shared" si="292"/>
        <v>1.9762844367928807</v>
      </c>
      <c r="AL120" s="26">
        <f t="shared" si="292"/>
        <v>2.2939622941443041</v>
      </c>
      <c r="AM120" s="26">
        <f t="shared" si="293"/>
        <v>4.2702467309371848</v>
      </c>
      <c r="AS120" t="str">
        <f t="shared" ref="AS120:AS143" si="307">W120</f>
        <v>12 Other managers and proprietors</v>
      </c>
      <c r="AT120" s="26">
        <f t="shared" si="294"/>
        <v>0.41850452838241026</v>
      </c>
      <c r="AU120" s="26">
        <f t="shared" si="294"/>
        <v>0.30290434470418859</v>
      </c>
      <c r="AV120" s="26">
        <f t="shared" si="294"/>
        <v>2.4491208898998185</v>
      </c>
      <c r="AW120" s="26">
        <f t="shared" si="294"/>
        <v>0.90974346389765515</v>
      </c>
      <c r="AX120" s="26">
        <f t="shared" si="295"/>
        <v>3.3588643537974736</v>
      </c>
      <c r="BD120" t="str">
        <f t="shared" ref="BD120:BD143" si="308">AH120</f>
        <v>12 Other managers and proprietors</v>
      </c>
      <c r="BE120" s="26">
        <f t="shared" si="296"/>
        <v>-4.2826067385732358E-2</v>
      </c>
      <c r="BF120" s="26">
        <f t="shared" si="296"/>
        <v>0.49093271505608271</v>
      </c>
      <c r="BG120" s="26">
        <f t="shared" si="296"/>
        <v>2.3716492657914756</v>
      </c>
      <c r="BH120" s="26">
        <f t="shared" si="296"/>
        <v>1.6487961970310359</v>
      </c>
      <c r="BI120" s="26">
        <f t="shared" si="297"/>
        <v>4.0204454628225115</v>
      </c>
      <c r="BO120" t="str">
        <f t="shared" ref="BO120:BO143" si="309">AS120</f>
        <v>12 Other managers and proprietors</v>
      </c>
      <c r="BP120" s="26">
        <f t="shared" si="298"/>
        <v>0.46746516659228732</v>
      </c>
      <c r="BQ120" s="26">
        <f t="shared" si="298"/>
        <v>0.28466093430571249</v>
      </c>
      <c r="BR120" s="26">
        <f t="shared" si="298"/>
        <v>1.4934579539610766</v>
      </c>
      <c r="BS120" s="26">
        <f t="shared" si="298"/>
        <v>-4.0231560459440665</v>
      </c>
      <c r="BT120" s="26">
        <f t="shared" si="299"/>
        <v>-2.5296980919829899</v>
      </c>
      <c r="BZ120" t="str">
        <f t="shared" ref="BZ120:BZ143" si="310">BD120</f>
        <v>12 Other managers and proprietors</v>
      </c>
      <c r="CA120" s="67">
        <f t="shared" si="300"/>
        <v>4.0381283515235484</v>
      </c>
      <c r="CB120" s="67">
        <f t="shared" si="300"/>
        <v>-0.86126549559746834</v>
      </c>
      <c r="CC120" s="67">
        <f t="shared" si="300"/>
        <v>1.2907318244374508</v>
      </c>
      <c r="CD120" s="67">
        <f t="shared" si="300"/>
        <v>-2.4408133482016598</v>
      </c>
      <c r="CE120" s="67">
        <f t="shared" si="301"/>
        <v>-1.150081523764209</v>
      </c>
      <c r="CK120" t="str">
        <f t="shared" ref="CK120:CK143" si="311">BO120</f>
        <v>12 Other managers and proprietors</v>
      </c>
      <c r="CL120" s="67">
        <f t="shared" si="302"/>
        <v>-8.2016055822798251E-2</v>
      </c>
      <c r="CM120" s="67">
        <f t="shared" si="302"/>
        <v>0.84462546002151528</v>
      </c>
      <c r="CN120" s="67">
        <f t="shared" si="302"/>
        <v>-2.690665130762504E-2</v>
      </c>
      <c r="CO120" s="67">
        <f t="shared" si="302"/>
        <v>9.0366308246480731E-2</v>
      </c>
      <c r="CP120" s="67">
        <f t="shared" si="303"/>
        <v>6.3459656938855691E-2</v>
      </c>
    </row>
    <row r="121" spans="1:94" x14ac:dyDescent="0.2">
      <c r="A121" t="str">
        <f t="shared" si="285"/>
        <v>21 Science, research, engineering and technology professionals</v>
      </c>
      <c r="B121" s="26">
        <f t="shared" si="286"/>
        <v>2.25353535383499</v>
      </c>
      <c r="C121" s="26">
        <f t="shared" si="286"/>
        <v>-0.21577578912501494</v>
      </c>
      <c r="D121" s="26">
        <f t="shared" si="286"/>
        <v>2.5254488351837754</v>
      </c>
      <c r="E121" s="26">
        <f t="shared" si="286"/>
        <v>4.9686323695422168</v>
      </c>
      <c r="F121" s="26">
        <f t="shared" si="287"/>
        <v>7.4940812047259922</v>
      </c>
      <c r="L121" t="str">
        <f t="shared" si="304"/>
        <v>21 Science, research, engineering and technology professionals</v>
      </c>
      <c r="M121" s="26">
        <f t="shared" si="288"/>
        <v>9.5402931531874806</v>
      </c>
      <c r="N121" s="26">
        <f t="shared" si="288"/>
        <v>0.382605373164985</v>
      </c>
      <c r="O121" s="26">
        <f t="shared" si="288"/>
        <v>12.529755048264569</v>
      </c>
      <c r="P121" s="26">
        <f t="shared" si="288"/>
        <v>23.024807908083758</v>
      </c>
      <c r="Q121" s="26">
        <f t="shared" si="289"/>
        <v>35.554562956348327</v>
      </c>
      <c r="W121" t="str">
        <f t="shared" si="305"/>
        <v>21 Science, research, engineering and technology professionals</v>
      </c>
      <c r="X121" s="26">
        <f t="shared" si="290"/>
        <v>3.3215335382970608</v>
      </c>
      <c r="Y121" s="26">
        <f t="shared" si="290"/>
        <v>1.0167545953618387</v>
      </c>
      <c r="Z121" s="26">
        <f t="shared" si="290"/>
        <v>3.2226312287106538</v>
      </c>
      <c r="AA121" s="26">
        <f t="shared" si="290"/>
        <v>1.3615046790794878</v>
      </c>
      <c r="AB121" s="26">
        <f t="shared" si="291"/>
        <v>4.5841359077901416</v>
      </c>
      <c r="AH121" t="str">
        <f t="shared" si="306"/>
        <v>21 Science, research, engineering and technology professionals</v>
      </c>
      <c r="AI121" s="26">
        <f t="shared" si="292"/>
        <v>-5.6776742939390168E-2</v>
      </c>
      <c r="AJ121" s="26">
        <f t="shared" si="292"/>
        <v>0.76259651261012618</v>
      </c>
      <c r="AK121" s="26">
        <f t="shared" si="292"/>
        <v>0.33973401577141704</v>
      </c>
      <c r="AL121" s="26">
        <f t="shared" si="292"/>
        <v>0.46238214081773776</v>
      </c>
      <c r="AM121" s="26">
        <f t="shared" si="293"/>
        <v>0.80211615658915481</v>
      </c>
      <c r="AS121" t="str">
        <f t="shared" si="307"/>
        <v>21 Science, research, engineering and technology professionals</v>
      </c>
      <c r="AT121" s="26">
        <f t="shared" si="294"/>
        <v>0.44253589347293776</v>
      </c>
      <c r="AU121" s="26">
        <f t="shared" si="294"/>
        <v>-9.4860845210778422E-2</v>
      </c>
      <c r="AV121" s="26">
        <f t="shared" si="294"/>
        <v>-0.7096577650151854</v>
      </c>
      <c r="AW121" s="26">
        <f t="shared" si="294"/>
        <v>-0.68486264480267245</v>
      </c>
      <c r="AX121" s="26">
        <f t="shared" si="295"/>
        <v>-1.3945204098178579</v>
      </c>
      <c r="BD121" t="str">
        <f t="shared" si="308"/>
        <v>21 Science, research, engineering and technology professionals</v>
      </c>
      <c r="BE121" s="26">
        <f t="shared" si="296"/>
        <v>2.658298926952078</v>
      </c>
      <c r="BF121" s="26">
        <f t="shared" si="296"/>
        <v>1.1559656622931627</v>
      </c>
      <c r="BG121" s="26">
        <f t="shared" si="296"/>
        <v>-2.2980390313320278</v>
      </c>
      <c r="BH121" s="26">
        <f t="shared" si="296"/>
        <v>-0.68143089117950595</v>
      </c>
      <c r="BI121" s="26">
        <f t="shared" si="297"/>
        <v>-2.9794699225115338</v>
      </c>
      <c r="BO121" t="str">
        <f t="shared" si="309"/>
        <v>21 Science, research, engineering and technology professionals</v>
      </c>
      <c r="BP121" s="26">
        <f t="shared" si="298"/>
        <v>0.54591737037547716</v>
      </c>
      <c r="BQ121" s="26">
        <f t="shared" si="298"/>
        <v>1.6797057574403489</v>
      </c>
      <c r="BR121" s="26">
        <f t="shared" si="298"/>
        <v>-2.6135779620137765</v>
      </c>
      <c r="BS121" s="26">
        <f t="shared" si="298"/>
        <v>-2.8749929763088709</v>
      </c>
      <c r="BT121" s="26">
        <f t="shared" si="299"/>
        <v>-5.4885709383226473</v>
      </c>
      <c r="BZ121" t="str">
        <f t="shared" si="310"/>
        <v>21 Science, research, engineering and technology professionals</v>
      </c>
      <c r="CA121" s="67">
        <f t="shared" si="300"/>
        <v>2.8789691317388426</v>
      </c>
      <c r="CB121" s="67">
        <f t="shared" si="300"/>
        <v>2.1847327296475427E-2</v>
      </c>
      <c r="CC121" s="67">
        <f t="shared" si="300"/>
        <v>-1.095154057576682</v>
      </c>
      <c r="CD121" s="67">
        <f t="shared" si="300"/>
        <v>-2.4217254250842251</v>
      </c>
      <c r="CE121" s="67">
        <f t="shared" si="301"/>
        <v>-3.5168794826609071</v>
      </c>
      <c r="CK121" t="str">
        <f t="shared" si="311"/>
        <v>21 Science, research, engineering and technology professionals</v>
      </c>
      <c r="CL121" s="67">
        <f t="shared" si="302"/>
        <v>0.41293697801652818</v>
      </c>
      <c r="CM121" s="67">
        <f t="shared" si="302"/>
        <v>0.73279067565575762</v>
      </c>
      <c r="CN121" s="67">
        <f t="shared" si="302"/>
        <v>-0.14828278185840293</v>
      </c>
      <c r="CO121" s="67">
        <f t="shared" si="302"/>
        <v>-0.15492722882923493</v>
      </c>
      <c r="CP121" s="67">
        <f t="shared" si="303"/>
        <v>-0.30321001068763787</v>
      </c>
    </row>
    <row r="122" spans="1:94" x14ac:dyDescent="0.2">
      <c r="A122" t="str">
        <f t="shared" si="285"/>
        <v>22 Health professionals</v>
      </c>
      <c r="B122" s="26">
        <f t="shared" si="286"/>
        <v>2.1745184131187552</v>
      </c>
      <c r="C122" s="26">
        <f t="shared" si="286"/>
        <v>6.2851870243799013E-2</v>
      </c>
      <c r="D122" s="26">
        <f t="shared" si="286"/>
        <v>3.657961926565779</v>
      </c>
      <c r="E122" s="26">
        <f t="shared" si="286"/>
        <v>7.266777061079118</v>
      </c>
      <c r="F122" s="26">
        <f t="shared" si="287"/>
        <v>10.924738987644897</v>
      </c>
      <c r="L122" t="str">
        <f t="shared" si="304"/>
        <v>22 Health professionals</v>
      </c>
      <c r="M122" s="26">
        <f t="shared" si="288"/>
        <v>6.792992412985285</v>
      </c>
      <c r="N122" s="26">
        <f t="shared" si="288"/>
        <v>-0.37255626961999866</v>
      </c>
      <c r="O122" s="26">
        <f t="shared" si="288"/>
        <v>8.3207522093970567</v>
      </c>
      <c r="P122" s="26">
        <f t="shared" si="288"/>
        <v>17.207560422135764</v>
      </c>
      <c r="Q122" s="26">
        <f t="shared" si="289"/>
        <v>25.52831263153282</v>
      </c>
      <c r="W122" t="str">
        <f t="shared" si="305"/>
        <v>22 Health professionals</v>
      </c>
      <c r="X122" s="26">
        <f t="shared" si="290"/>
        <v>3.6320388436295943</v>
      </c>
      <c r="Y122" s="26">
        <f t="shared" si="290"/>
        <v>0.9507126881851562</v>
      </c>
      <c r="Z122" s="26">
        <f t="shared" si="290"/>
        <v>7.7333960225738565</v>
      </c>
      <c r="AA122" s="26">
        <f t="shared" si="290"/>
        <v>6.1898408309057373</v>
      </c>
      <c r="AB122" s="26">
        <f t="shared" si="291"/>
        <v>13.923236853479594</v>
      </c>
      <c r="AH122" t="str">
        <f t="shared" si="306"/>
        <v>22 Health professionals</v>
      </c>
      <c r="AI122" s="26">
        <f t="shared" si="292"/>
        <v>-6.370431061857488</v>
      </c>
      <c r="AJ122" s="26">
        <f t="shared" si="292"/>
        <v>-1.4113569040504075</v>
      </c>
      <c r="AK122" s="26">
        <f t="shared" si="292"/>
        <v>-6.1188241569178796</v>
      </c>
      <c r="AL122" s="26">
        <f t="shared" si="292"/>
        <v>-5.8768494368032123</v>
      </c>
      <c r="AM122" s="26">
        <f t="shared" si="293"/>
        <v>-11.995673593721092</v>
      </c>
      <c r="AS122" t="str">
        <f t="shared" si="307"/>
        <v>22 Health professionals</v>
      </c>
      <c r="AT122" s="26">
        <f t="shared" si="294"/>
        <v>0.25173843663070494</v>
      </c>
      <c r="AU122" s="26">
        <f t="shared" si="294"/>
        <v>0.41038894682139393</v>
      </c>
      <c r="AV122" s="26">
        <f t="shared" si="294"/>
        <v>0.45544229860505947</v>
      </c>
      <c r="AW122" s="26">
        <f t="shared" si="294"/>
        <v>0.51161474299225862</v>
      </c>
      <c r="AX122" s="26">
        <f t="shared" si="295"/>
        <v>0.96705704159731809</v>
      </c>
      <c r="BD122" t="str">
        <f t="shared" si="308"/>
        <v>22 Health professionals</v>
      </c>
      <c r="BE122" s="26">
        <f t="shared" si="296"/>
        <v>4.0883927600175216</v>
      </c>
      <c r="BF122" s="26">
        <f t="shared" si="296"/>
        <v>-0.10386132961134642</v>
      </c>
      <c r="BG122" s="26">
        <f t="shared" si="296"/>
        <v>2.1832041281494714</v>
      </c>
      <c r="BH122" s="26">
        <f t="shared" si="296"/>
        <v>2.1652741659740897</v>
      </c>
      <c r="BI122" s="26">
        <f t="shared" si="297"/>
        <v>4.3484782941235611</v>
      </c>
      <c r="BO122" t="str">
        <f t="shared" si="309"/>
        <v>22 Health professionals</v>
      </c>
      <c r="BP122" s="26">
        <f t="shared" si="298"/>
        <v>1.6523626693561742</v>
      </c>
      <c r="BQ122" s="26">
        <f t="shared" si="298"/>
        <v>-0.49463852144586973</v>
      </c>
      <c r="BR122" s="26">
        <f t="shared" si="298"/>
        <v>-0.41396565112262174</v>
      </c>
      <c r="BS122" s="26">
        <f t="shared" si="298"/>
        <v>-2.4042027586245709</v>
      </c>
      <c r="BT122" s="26">
        <f t="shared" si="299"/>
        <v>-2.8181684097471926</v>
      </c>
      <c r="BZ122" t="str">
        <f t="shared" si="310"/>
        <v>22 Health professionals</v>
      </c>
      <c r="CA122" s="67">
        <f t="shared" si="300"/>
        <v>1.8725764546867838</v>
      </c>
      <c r="CB122" s="67">
        <f t="shared" si="300"/>
        <v>-0.46652392710056478</v>
      </c>
      <c r="CC122" s="67">
        <f t="shared" si="300"/>
        <v>-0.19503068999800988</v>
      </c>
      <c r="CD122" s="67">
        <f t="shared" si="300"/>
        <v>-1.4476265250738813</v>
      </c>
      <c r="CE122" s="67">
        <f t="shared" si="301"/>
        <v>-1.6426572150718912</v>
      </c>
      <c r="CK122" t="str">
        <f t="shared" si="311"/>
        <v>22 Health professionals</v>
      </c>
      <c r="CL122" s="67">
        <f t="shared" si="302"/>
        <v>7.8508566306958516E-2</v>
      </c>
      <c r="CM122" s="67">
        <f t="shared" si="302"/>
        <v>0.17486351448113002</v>
      </c>
      <c r="CN122" s="67">
        <f t="shared" si="302"/>
        <v>0.32574049846647313</v>
      </c>
      <c r="CO122" s="67">
        <f t="shared" si="302"/>
        <v>0.33420409340834056</v>
      </c>
      <c r="CP122" s="67">
        <f t="shared" si="303"/>
        <v>0.65994459187481369</v>
      </c>
    </row>
    <row r="123" spans="1:94" x14ac:dyDescent="0.2">
      <c r="A123" t="str">
        <f t="shared" si="285"/>
        <v>23 Teaching and other educational professionals</v>
      </c>
      <c r="B123" s="26">
        <f t="shared" si="286"/>
        <v>2.4437550177143557</v>
      </c>
      <c r="C123" s="26">
        <f t="shared" si="286"/>
        <v>-0.37389478507541796</v>
      </c>
      <c r="D123" s="26">
        <f t="shared" si="286"/>
        <v>2.4384680805285086</v>
      </c>
      <c r="E123" s="26">
        <f t="shared" si="286"/>
        <v>4.0460509373667843</v>
      </c>
      <c r="F123" s="26">
        <f t="shared" si="287"/>
        <v>6.4845190178952929</v>
      </c>
      <c r="L123" t="str">
        <f t="shared" si="304"/>
        <v>23 Teaching and other educational professionals</v>
      </c>
      <c r="M123" s="26">
        <f t="shared" si="288"/>
        <v>15.357587901431224</v>
      </c>
      <c r="N123" s="26">
        <f t="shared" si="288"/>
        <v>0.7156695651211038</v>
      </c>
      <c r="O123" s="26">
        <f t="shared" si="288"/>
        <v>12.351967958084714</v>
      </c>
      <c r="P123" s="26">
        <f t="shared" si="288"/>
        <v>21.9871198967369</v>
      </c>
      <c r="Q123" s="26">
        <f t="shared" si="289"/>
        <v>34.339087854821614</v>
      </c>
      <c r="W123" t="str">
        <f t="shared" si="305"/>
        <v>23 Teaching and other educational professionals</v>
      </c>
      <c r="X123" s="26">
        <f t="shared" si="290"/>
        <v>-3.7474134736989271</v>
      </c>
      <c r="Y123" s="26">
        <f t="shared" si="290"/>
        <v>1.7520985391667168</v>
      </c>
      <c r="Z123" s="26">
        <f t="shared" si="290"/>
        <v>-4.3048884064346993</v>
      </c>
      <c r="AA123" s="26">
        <f t="shared" si="290"/>
        <v>-7.9601581307184581</v>
      </c>
      <c r="AB123" s="26">
        <f t="shared" si="291"/>
        <v>-12.265046537153157</v>
      </c>
      <c r="AH123" t="str">
        <f t="shared" si="306"/>
        <v>23 Teaching and other educational professionals</v>
      </c>
      <c r="AI123" s="26">
        <f t="shared" si="292"/>
        <v>-2.5375089044846169</v>
      </c>
      <c r="AJ123" s="26">
        <f t="shared" si="292"/>
        <v>-0.52249786620311189</v>
      </c>
      <c r="AK123" s="26">
        <f t="shared" si="292"/>
        <v>-0.89146981868515063</v>
      </c>
      <c r="AL123" s="26">
        <f t="shared" si="292"/>
        <v>0.11748092841914914</v>
      </c>
      <c r="AM123" s="26">
        <f t="shared" si="293"/>
        <v>-0.77398889026600148</v>
      </c>
      <c r="AS123" t="str">
        <f t="shared" si="307"/>
        <v>23 Teaching and other educational professionals</v>
      </c>
      <c r="AT123" s="26">
        <f t="shared" si="294"/>
        <v>9.1092424920439674E-2</v>
      </c>
      <c r="AU123" s="26">
        <f t="shared" si="294"/>
        <v>-0.16069211570787689</v>
      </c>
      <c r="AV123" s="26">
        <f t="shared" si="294"/>
        <v>-0.21873702901644854</v>
      </c>
      <c r="AW123" s="26">
        <f t="shared" si="294"/>
        <v>-0.28671459868783988</v>
      </c>
      <c r="AX123" s="26">
        <f t="shared" si="295"/>
        <v>-0.50545162770428842</v>
      </c>
      <c r="BD123" t="str">
        <f t="shared" si="308"/>
        <v>23 Teaching and other educational professionals</v>
      </c>
      <c r="BE123" s="26">
        <f t="shared" si="296"/>
        <v>1.1006954987472302</v>
      </c>
      <c r="BF123" s="26">
        <f t="shared" si="296"/>
        <v>-0.3749184758202464</v>
      </c>
      <c r="BG123" s="26">
        <f t="shared" si="296"/>
        <v>-8.8415983077352323E-3</v>
      </c>
      <c r="BH123" s="26">
        <f t="shared" si="296"/>
        <v>0.66799606856336968</v>
      </c>
      <c r="BI123" s="26">
        <f t="shared" si="297"/>
        <v>0.65915447025563445</v>
      </c>
      <c r="BO123" t="str">
        <f t="shared" si="309"/>
        <v>23 Teaching and other educational professionals</v>
      </c>
      <c r="BP123" s="26">
        <f t="shared" si="298"/>
        <v>0.37764434184371254</v>
      </c>
      <c r="BQ123" s="26">
        <f t="shared" si="298"/>
        <v>-0.43803582207977154</v>
      </c>
      <c r="BR123" s="26">
        <f t="shared" si="298"/>
        <v>-0.57681766706799076</v>
      </c>
      <c r="BS123" s="26">
        <f t="shared" si="298"/>
        <v>-0.95349353447461738</v>
      </c>
      <c r="BT123" s="26">
        <f t="shared" si="299"/>
        <v>-1.5303112015426081</v>
      </c>
      <c r="BZ123" t="str">
        <f t="shared" si="310"/>
        <v>23 Teaching and other educational professionals</v>
      </c>
      <c r="CA123" s="67">
        <f t="shared" si="300"/>
        <v>0.94069764234267428</v>
      </c>
      <c r="CB123" s="67">
        <f t="shared" si="300"/>
        <v>0.26391866017799748</v>
      </c>
      <c r="CC123" s="67">
        <f t="shared" si="300"/>
        <v>-0.31696922216183943</v>
      </c>
      <c r="CD123" s="67">
        <f t="shared" si="300"/>
        <v>-0.57692573342938447</v>
      </c>
      <c r="CE123" s="67">
        <f t="shared" si="301"/>
        <v>-0.89389495559122389</v>
      </c>
      <c r="CK123" t="str">
        <f t="shared" si="311"/>
        <v>23 Teaching and other educational professionals</v>
      </c>
      <c r="CL123" s="67">
        <f t="shared" si="302"/>
        <v>0.1029741680209928</v>
      </c>
      <c r="CM123" s="67">
        <f t="shared" si="302"/>
        <v>0.21442820917065153</v>
      </c>
      <c r="CN123" s="67">
        <f t="shared" si="302"/>
        <v>3.7425620867237219E-2</v>
      </c>
      <c r="CO123" s="67">
        <f t="shared" si="302"/>
        <v>-0.16619135248946026</v>
      </c>
      <c r="CP123" s="67">
        <f t="shared" si="303"/>
        <v>-0.12876573162222305</v>
      </c>
    </row>
    <row r="124" spans="1:94" x14ac:dyDescent="0.2">
      <c r="A124" t="str">
        <f t="shared" si="285"/>
        <v>24 Business, media and public service professionals</v>
      </c>
      <c r="B124" s="26">
        <f t="shared" si="286"/>
        <v>0.93646244441237148</v>
      </c>
      <c r="C124" s="26">
        <f t="shared" si="286"/>
        <v>2.3754695523132696E-3</v>
      </c>
      <c r="D124" s="26">
        <f t="shared" si="286"/>
        <v>1.5128499162510627</v>
      </c>
      <c r="E124" s="26">
        <f t="shared" si="286"/>
        <v>2.6805294491080254</v>
      </c>
      <c r="F124" s="26">
        <f t="shared" si="287"/>
        <v>4.1933793653590881</v>
      </c>
      <c r="L124" t="str">
        <f t="shared" si="304"/>
        <v>24 Business, media and public service professionals</v>
      </c>
      <c r="M124" s="26">
        <f t="shared" si="288"/>
        <v>11.859974253929852</v>
      </c>
      <c r="N124" s="26">
        <f t="shared" si="288"/>
        <v>2.7512540052788879</v>
      </c>
      <c r="O124" s="26">
        <f t="shared" si="288"/>
        <v>15.666293721761733</v>
      </c>
      <c r="P124" s="26">
        <f t="shared" si="288"/>
        <v>28.236315363204383</v>
      </c>
      <c r="Q124" s="26">
        <f t="shared" si="289"/>
        <v>43.902609084966116</v>
      </c>
      <c r="W124" t="str">
        <f t="shared" si="305"/>
        <v>24 Business, media and public service professionals</v>
      </c>
      <c r="X124" s="26">
        <f t="shared" si="290"/>
        <v>4.8572759138185688</v>
      </c>
      <c r="Y124" s="26">
        <f t="shared" si="290"/>
        <v>5.6975522880814609</v>
      </c>
      <c r="Z124" s="26">
        <f t="shared" si="290"/>
        <v>8.2392103706343391</v>
      </c>
      <c r="AA124" s="26">
        <f t="shared" si="290"/>
        <v>2.8030285169517839</v>
      </c>
      <c r="AB124" s="26">
        <f t="shared" si="291"/>
        <v>11.042238887586123</v>
      </c>
      <c r="AH124" t="str">
        <f t="shared" si="306"/>
        <v>24 Business, media and public service professionals</v>
      </c>
      <c r="AI124" s="26">
        <f t="shared" si="292"/>
        <v>-0.60925482776264772</v>
      </c>
      <c r="AJ124" s="26">
        <f t="shared" si="292"/>
        <v>0.66266630231372492</v>
      </c>
      <c r="AK124" s="26">
        <f t="shared" si="292"/>
        <v>-7.8867699755891252E-3</v>
      </c>
      <c r="AL124" s="26">
        <f t="shared" si="292"/>
        <v>6.777470237908112E-2</v>
      </c>
      <c r="AM124" s="26">
        <f t="shared" si="293"/>
        <v>5.9887932403491995E-2</v>
      </c>
      <c r="AS124" t="str">
        <f t="shared" si="307"/>
        <v>24 Business, media and public service professionals</v>
      </c>
      <c r="AT124" s="26">
        <f t="shared" si="294"/>
        <v>0.57597320950913478</v>
      </c>
      <c r="AU124" s="26">
        <f t="shared" si="294"/>
        <v>1.0911724138061203</v>
      </c>
      <c r="AV124" s="26">
        <f t="shared" si="294"/>
        <v>1.2191326532334994</v>
      </c>
      <c r="AW124" s="26">
        <f t="shared" si="294"/>
        <v>0.75482014544216547</v>
      </c>
      <c r="AX124" s="26">
        <f t="shared" si="295"/>
        <v>1.9739527986756649</v>
      </c>
      <c r="BD124" t="str">
        <f t="shared" si="308"/>
        <v>24 Business, media and public service professionals</v>
      </c>
      <c r="BE124" s="26">
        <f t="shared" si="296"/>
        <v>4.5745086517271432</v>
      </c>
      <c r="BF124" s="26">
        <f t="shared" si="296"/>
        <v>1.8180525697735987</v>
      </c>
      <c r="BG124" s="26">
        <f t="shared" si="296"/>
        <v>2.0267077374534317</v>
      </c>
      <c r="BH124" s="26">
        <f t="shared" si="296"/>
        <v>2.3675636122497679</v>
      </c>
      <c r="BI124" s="26">
        <f t="shared" si="297"/>
        <v>4.3942713497031995</v>
      </c>
      <c r="BO124" t="str">
        <f t="shared" si="309"/>
        <v>24 Business, media and public service professionals</v>
      </c>
      <c r="BP124" s="26">
        <f t="shared" si="298"/>
        <v>0.66016420365914463</v>
      </c>
      <c r="BQ124" s="26">
        <f t="shared" si="298"/>
        <v>2.2564395853205124</v>
      </c>
      <c r="BR124" s="26">
        <f t="shared" si="298"/>
        <v>-1.7514017692489912</v>
      </c>
      <c r="BS124" s="26">
        <f t="shared" si="298"/>
        <v>-3.5819112642908753</v>
      </c>
      <c r="BT124" s="26">
        <f t="shared" si="299"/>
        <v>-5.3333130335398664</v>
      </c>
      <c r="BZ124" t="str">
        <f t="shared" si="310"/>
        <v>24 Business, media and public service professionals</v>
      </c>
      <c r="CA124" s="67">
        <f t="shared" si="300"/>
        <v>3.318514089027472</v>
      </c>
      <c r="CB124" s="67">
        <f t="shared" si="300"/>
        <v>0.42383887767666018</v>
      </c>
      <c r="CC124" s="67">
        <f t="shared" si="300"/>
        <v>-0.63040499770150227</v>
      </c>
      <c r="CD124" s="67">
        <f t="shared" si="300"/>
        <v>-2.1594734265542375</v>
      </c>
      <c r="CE124" s="67">
        <f t="shared" si="301"/>
        <v>-2.7898784242557397</v>
      </c>
      <c r="CK124" t="str">
        <f t="shared" si="311"/>
        <v>24 Business, media and public service professionals</v>
      </c>
      <c r="CL124" s="67">
        <f t="shared" si="302"/>
        <v>0.3729064315301458</v>
      </c>
      <c r="CM124" s="67">
        <f t="shared" si="302"/>
        <v>0.62406007550050346</v>
      </c>
      <c r="CN124" s="67">
        <f t="shared" si="302"/>
        <v>-0.11459630078538519</v>
      </c>
      <c r="CO124" s="67">
        <f t="shared" si="302"/>
        <v>-0.29023633463265042</v>
      </c>
      <c r="CP124" s="67">
        <f t="shared" si="303"/>
        <v>-0.4048326354180356</v>
      </c>
    </row>
    <row r="125" spans="1:94" x14ac:dyDescent="0.2">
      <c r="A125" t="str">
        <f t="shared" si="285"/>
        <v>31 Science, engineering and technology associate professionals</v>
      </c>
      <c r="B125" s="26">
        <f t="shared" si="286"/>
        <v>0.38666305941153201</v>
      </c>
      <c r="C125" s="26">
        <f t="shared" si="286"/>
        <v>0.16500179904264178</v>
      </c>
      <c r="D125" s="26">
        <f t="shared" si="286"/>
        <v>0.24557565471956977</v>
      </c>
      <c r="E125" s="26">
        <f t="shared" si="286"/>
        <v>0.95504807221449872</v>
      </c>
      <c r="F125" s="26">
        <f t="shared" si="287"/>
        <v>1.2006237269340685</v>
      </c>
      <c r="L125" t="str">
        <f t="shared" si="304"/>
        <v>31 Science, engineering and technology associate professionals</v>
      </c>
      <c r="M125" s="26">
        <f t="shared" si="288"/>
        <v>1.8211766201986084</v>
      </c>
      <c r="N125" s="26">
        <f t="shared" si="288"/>
        <v>0.45770802323749837</v>
      </c>
      <c r="O125" s="26">
        <f t="shared" si="288"/>
        <v>1.0031201298529737</v>
      </c>
      <c r="P125" s="26">
        <f t="shared" si="288"/>
        <v>3.8936052970875545</v>
      </c>
      <c r="Q125" s="26">
        <f t="shared" si="289"/>
        <v>4.8967254269405283</v>
      </c>
      <c r="W125" t="str">
        <f t="shared" si="305"/>
        <v>31 Science, engineering and technology associate professionals</v>
      </c>
      <c r="X125" s="26">
        <f t="shared" si="290"/>
        <v>1.6691476328193016</v>
      </c>
      <c r="Y125" s="26">
        <f t="shared" si="290"/>
        <v>1.1365972095070411</v>
      </c>
      <c r="Z125" s="26">
        <f t="shared" si="290"/>
        <v>-0.80644118187480096</v>
      </c>
      <c r="AA125" s="26">
        <f t="shared" si="290"/>
        <v>1.0257014245154021</v>
      </c>
      <c r="AB125" s="26">
        <f t="shared" si="291"/>
        <v>0.21926024264060118</v>
      </c>
      <c r="AH125" t="str">
        <f t="shared" si="306"/>
        <v>31 Science, engineering and technology associate professionals</v>
      </c>
      <c r="AI125" s="26">
        <f t="shared" si="292"/>
        <v>0.46215787477582104</v>
      </c>
      <c r="AJ125" s="26">
        <f t="shared" si="292"/>
        <v>6.5073916716006597E-2</v>
      </c>
      <c r="AK125" s="26">
        <f t="shared" si="292"/>
        <v>0.12445027332356107</v>
      </c>
      <c r="AL125" s="26">
        <f t="shared" si="292"/>
        <v>0.75243284347864581</v>
      </c>
      <c r="AM125" s="26">
        <f t="shared" si="293"/>
        <v>0.87688311680220687</v>
      </c>
      <c r="AS125" t="str">
        <f t="shared" si="307"/>
        <v>31 Science, engineering and technology associate professionals</v>
      </c>
      <c r="AT125" s="26">
        <f t="shared" si="294"/>
        <v>0.45146802139441533</v>
      </c>
      <c r="AU125" s="26">
        <f t="shared" si="294"/>
        <v>0.10082199716888862</v>
      </c>
      <c r="AV125" s="26">
        <f t="shared" si="294"/>
        <v>-0.86368533991060836</v>
      </c>
      <c r="AW125" s="26">
        <f t="shared" si="294"/>
        <v>-0.1840883258660142</v>
      </c>
      <c r="AX125" s="26">
        <f t="shared" si="295"/>
        <v>-1.0477736657766226</v>
      </c>
      <c r="BD125" t="str">
        <f t="shared" si="308"/>
        <v>31 Science, engineering and technology associate professionals</v>
      </c>
      <c r="BE125" s="26">
        <f t="shared" si="296"/>
        <v>0.86273871630618792</v>
      </c>
      <c r="BF125" s="26">
        <f t="shared" si="296"/>
        <v>1.082407911237679</v>
      </c>
      <c r="BG125" s="26">
        <f t="shared" si="296"/>
        <v>-2.8154324110921394</v>
      </c>
      <c r="BH125" s="26">
        <f t="shared" si="296"/>
        <v>-1.6511651241068721</v>
      </c>
      <c r="BI125" s="26">
        <f t="shared" si="297"/>
        <v>-4.4665975351990115</v>
      </c>
      <c r="BO125" t="str">
        <f t="shared" si="309"/>
        <v>31 Science, engineering and technology associate professionals</v>
      </c>
      <c r="BP125" s="26">
        <f t="shared" si="298"/>
        <v>0.57699458541733595</v>
      </c>
      <c r="BQ125" s="26">
        <f t="shared" si="298"/>
        <v>1.0165353422021788</v>
      </c>
      <c r="BR125" s="26">
        <f t="shared" si="298"/>
        <v>-1.9336050656433859</v>
      </c>
      <c r="BS125" s="26">
        <f t="shared" si="298"/>
        <v>-0.7044046009948115</v>
      </c>
      <c r="BT125" s="26">
        <f t="shared" si="299"/>
        <v>-2.6380096666381974</v>
      </c>
      <c r="BZ125" t="str">
        <f t="shared" si="310"/>
        <v>31 Science, engineering and technology associate professionals</v>
      </c>
      <c r="CA125" s="67">
        <f t="shared" si="300"/>
        <v>1.8725710666226085</v>
      </c>
      <c r="CB125" s="67">
        <f t="shared" si="300"/>
        <v>0.52994113717725977</v>
      </c>
      <c r="CC125" s="67">
        <f t="shared" si="300"/>
        <v>-1.2734683109447813</v>
      </c>
      <c r="CD125" s="67">
        <f t="shared" si="300"/>
        <v>-0.50552823772379973</v>
      </c>
      <c r="CE125" s="67">
        <f t="shared" si="301"/>
        <v>-1.778996548668581</v>
      </c>
      <c r="CK125" t="str">
        <f t="shared" si="311"/>
        <v>31 Science, engineering and technology associate professionals</v>
      </c>
      <c r="CL125" s="67">
        <f t="shared" si="302"/>
        <v>0.22631877457028537</v>
      </c>
      <c r="CM125" s="67">
        <f t="shared" si="302"/>
        <v>0.34853358790420053</v>
      </c>
      <c r="CN125" s="67">
        <f t="shared" si="302"/>
        <v>-2.0376390772047781E-2</v>
      </c>
      <c r="CO125" s="67">
        <f t="shared" si="302"/>
        <v>0.22625132133644654</v>
      </c>
      <c r="CP125" s="67">
        <f t="shared" si="303"/>
        <v>0.20587493056439876</v>
      </c>
    </row>
    <row r="126" spans="1:94" x14ac:dyDescent="0.2">
      <c r="A126" t="str">
        <f t="shared" si="285"/>
        <v>32 Health and social care associate professionals</v>
      </c>
      <c r="B126" s="26">
        <f t="shared" si="286"/>
        <v>8.0274610275103186E-2</v>
      </c>
      <c r="C126" s="26">
        <f t="shared" si="286"/>
        <v>-5.0430660437177477E-2</v>
      </c>
      <c r="D126" s="26">
        <f t="shared" si="286"/>
        <v>0.12170717174209372</v>
      </c>
      <c r="E126" s="26">
        <f t="shared" si="286"/>
        <v>0.31067377367754656</v>
      </c>
      <c r="F126" s="26">
        <f t="shared" si="287"/>
        <v>0.43238094541964028</v>
      </c>
      <c r="L126" t="str">
        <f t="shared" si="304"/>
        <v>32 Health and social care associate professionals</v>
      </c>
      <c r="M126" s="26">
        <f t="shared" si="288"/>
        <v>1.4971719159923751</v>
      </c>
      <c r="N126" s="26">
        <f t="shared" si="288"/>
        <v>5.7150339096242675E-2</v>
      </c>
      <c r="O126" s="26">
        <f t="shared" si="288"/>
        <v>2.0230912218576593</v>
      </c>
      <c r="P126" s="26">
        <f t="shared" si="288"/>
        <v>5.8899206379669788</v>
      </c>
      <c r="Q126" s="26">
        <f t="shared" si="289"/>
        <v>7.9130118598246382</v>
      </c>
      <c r="W126" t="str">
        <f t="shared" si="305"/>
        <v>32 Health and social care associate professionals</v>
      </c>
      <c r="X126" s="26">
        <f t="shared" si="290"/>
        <v>0.50636479235074994</v>
      </c>
      <c r="Y126" s="26">
        <f t="shared" si="290"/>
        <v>0.95681674812895068</v>
      </c>
      <c r="Z126" s="26">
        <f t="shared" si="290"/>
        <v>2.7141470690581855</v>
      </c>
      <c r="AA126" s="26">
        <f t="shared" si="290"/>
        <v>4.589389236848838</v>
      </c>
      <c r="AB126" s="26">
        <f t="shared" si="291"/>
        <v>7.3035363059070235</v>
      </c>
      <c r="AH126" t="str">
        <f t="shared" si="306"/>
        <v>32 Health and social care associate professionals</v>
      </c>
      <c r="AI126" s="26">
        <f t="shared" si="292"/>
        <v>-2.5038122140728056</v>
      </c>
      <c r="AJ126" s="26">
        <f t="shared" si="292"/>
        <v>8.605497771467796E-3</v>
      </c>
      <c r="AK126" s="26">
        <f t="shared" si="292"/>
        <v>-1.8205564652368871</v>
      </c>
      <c r="AL126" s="26">
        <f t="shared" si="292"/>
        <v>-2.468292370200861</v>
      </c>
      <c r="AM126" s="26">
        <f t="shared" si="293"/>
        <v>-4.2888488354377481</v>
      </c>
      <c r="AS126" t="str">
        <f t="shared" si="307"/>
        <v>32 Health and social care associate professionals</v>
      </c>
      <c r="AT126" s="26">
        <f t="shared" si="294"/>
        <v>6.5169261870598127E-2</v>
      </c>
      <c r="AU126" s="26">
        <f t="shared" si="294"/>
        <v>0.34821707553656056</v>
      </c>
      <c r="AV126" s="26">
        <f t="shared" si="294"/>
        <v>9.6385247108052852E-2</v>
      </c>
      <c r="AW126" s="26">
        <f t="shared" si="294"/>
        <v>0.40952354682128655</v>
      </c>
      <c r="AX126" s="26">
        <f t="shared" si="295"/>
        <v>0.50590879392933941</v>
      </c>
      <c r="BD126" t="str">
        <f t="shared" si="308"/>
        <v>32 Health and social care associate professionals</v>
      </c>
      <c r="BE126" s="26">
        <f t="shared" si="296"/>
        <v>2.7857518671384902</v>
      </c>
      <c r="BF126" s="26">
        <f t="shared" si="296"/>
        <v>-2.9261596904500919E-2</v>
      </c>
      <c r="BG126" s="26">
        <f t="shared" si="296"/>
        <v>0.75017138653574911</v>
      </c>
      <c r="BH126" s="26">
        <f t="shared" si="296"/>
        <v>2.2742738520037182</v>
      </c>
      <c r="BI126" s="26">
        <f t="shared" si="297"/>
        <v>3.0244452385394673</v>
      </c>
      <c r="BO126" t="str">
        <f t="shared" si="309"/>
        <v>32 Health and social care associate professionals</v>
      </c>
      <c r="BP126" s="26">
        <f t="shared" si="298"/>
        <v>1.0149628381454843</v>
      </c>
      <c r="BQ126" s="26">
        <f t="shared" si="298"/>
        <v>-0.78824364548001569</v>
      </c>
      <c r="BR126" s="26">
        <f t="shared" si="298"/>
        <v>-0.85977352832146803</v>
      </c>
      <c r="BS126" s="26">
        <f t="shared" si="298"/>
        <v>-1.7146439851458384</v>
      </c>
      <c r="BT126" s="26">
        <f t="shared" si="299"/>
        <v>-2.5744175134673064</v>
      </c>
      <c r="BZ126" t="str">
        <f t="shared" si="310"/>
        <v>32 Health and social care associate professionals</v>
      </c>
      <c r="CA126" s="67">
        <f t="shared" si="300"/>
        <v>0.29393335268331011</v>
      </c>
      <c r="CB126" s="67">
        <f t="shared" si="300"/>
        <v>-0.16439917215801314</v>
      </c>
      <c r="CC126" s="67">
        <f t="shared" si="300"/>
        <v>-0.39460456072141303</v>
      </c>
      <c r="CD126" s="67">
        <f t="shared" si="300"/>
        <v>-0.57436693405872363</v>
      </c>
      <c r="CE126" s="67">
        <f t="shared" si="301"/>
        <v>-0.96897149478013667</v>
      </c>
      <c r="CK126" t="str">
        <f t="shared" si="311"/>
        <v>32 Health and social care associate professionals</v>
      </c>
      <c r="CL126" s="67">
        <f t="shared" si="302"/>
        <v>-5.9972558724186165E-4</v>
      </c>
      <c r="CM126" s="67">
        <f t="shared" si="302"/>
        <v>0.11018080579546624</v>
      </c>
      <c r="CN126" s="67">
        <f t="shared" si="302"/>
        <v>2.3994992853488717E-2</v>
      </c>
      <c r="CO126" s="67">
        <f t="shared" si="302"/>
        <v>9.5760487152453722E-2</v>
      </c>
      <c r="CP126" s="67">
        <f t="shared" si="303"/>
        <v>0.11975548000594244</v>
      </c>
    </row>
    <row r="127" spans="1:94" x14ac:dyDescent="0.2">
      <c r="A127" t="str">
        <f t="shared" si="285"/>
        <v>33 Protective service occupations</v>
      </c>
      <c r="B127" s="26">
        <f t="shared" si="286"/>
        <v>1.098660911915679E-2</v>
      </c>
      <c r="C127" s="26">
        <f t="shared" si="286"/>
        <v>4.8708658960336659E-3</v>
      </c>
      <c r="D127" s="26">
        <f t="shared" si="286"/>
        <v>6.604042079473417E-2</v>
      </c>
      <c r="E127" s="26">
        <f t="shared" si="286"/>
        <v>0.11325657105855944</v>
      </c>
      <c r="F127" s="26">
        <f t="shared" si="287"/>
        <v>0.17929699185329362</v>
      </c>
      <c r="L127" t="str">
        <f t="shared" si="304"/>
        <v>33 Protective service occupations</v>
      </c>
      <c r="M127" s="26">
        <f t="shared" si="288"/>
        <v>0.23852175261545316</v>
      </c>
      <c r="N127" s="26">
        <f t="shared" si="288"/>
        <v>5.7880193316563133E-2</v>
      </c>
      <c r="O127" s="26">
        <f t="shared" si="288"/>
        <v>0.85683136090620171</v>
      </c>
      <c r="P127" s="26">
        <f t="shared" si="288"/>
        <v>1.6869353593610974</v>
      </c>
      <c r="Q127" s="26">
        <f t="shared" si="289"/>
        <v>2.5437667202672989</v>
      </c>
      <c r="W127" t="str">
        <f t="shared" si="305"/>
        <v>33 Protective service occupations</v>
      </c>
      <c r="X127" s="26">
        <f t="shared" si="290"/>
        <v>0.3539257162432552</v>
      </c>
      <c r="Y127" s="26">
        <f t="shared" si="290"/>
        <v>0.53376805152630524</v>
      </c>
      <c r="Z127" s="26">
        <f t="shared" si="290"/>
        <v>2.0445467163176998</v>
      </c>
      <c r="AA127" s="26">
        <f t="shared" si="290"/>
        <v>2.5452306785773571</v>
      </c>
      <c r="AB127" s="26">
        <f t="shared" si="291"/>
        <v>4.5897773948950569</v>
      </c>
      <c r="AH127" t="str">
        <f t="shared" si="306"/>
        <v>33 Protective service occupations</v>
      </c>
      <c r="AI127" s="26">
        <f t="shared" si="292"/>
        <v>6.0104948551056747E-2</v>
      </c>
      <c r="AJ127" s="26">
        <f t="shared" si="292"/>
        <v>0.15261553926015403</v>
      </c>
      <c r="AK127" s="26">
        <f t="shared" si="292"/>
        <v>0.53639455007134007</v>
      </c>
      <c r="AL127" s="26">
        <f t="shared" si="292"/>
        <v>0.67449357340007543</v>
      </c>
      <c r="AM127" s="26">
        <f t="shared" si="293"/>
        <v>1.2108881234714155</v>
      </c>
      <c r="AS127" t="str">
        <f t="shared" si="307"/>
        <v>33 Protective service occupations</v>
      </c>
      <c r="AT127" s="26">
        <f t="shared" si="294"/>
        <v>-8.3946590255020492E-2</v>
      </c>
      <c r="AU127" s="26">
        <f t="shared" si="294"/>
        <v>0.10636184731340426</v>
      </c>
      <c r="AV127" s="26">
        <f t="shared" si="294"/>
        <v>0.1899777849962585</v>
      </c>
      <c r="AW127" s="26">
        <f t="shared" si="294"/>
        <v>0.12042014599443718</v>
      </c>
      <c r="AX127" s="26">
        <f t="shared" si="295"/>
        <v>0.31039793099069568</v>
      </c>
      <c r="BD127" t="str">
        <f t="shared" si="308"/>
        <v>33 Protective service occupations</v>
      </c>
      <c r="BE127" s="26">
        <f t="shared" si="296"/>
        <v>-0.16330240681862751</v>
      </c>
      <c r="BF127" s="26">
        <f t="shared" si="296"/>
        <v>0.16695397275437163</v>
      </c>
      <c r="BG127" s="26">
        <f t="shared" si="296"/>
        <v>0.64784834503993594</v>
      </c>
      <c r="BH127" s="26">
        <f t="shared" si="296"/>
        <v>-1.2347986256626697E-2</v>
      </c>
      <c r="BI127" s="26">
        <f t="shared" si="297"/>
        <v>0.63550035878330924</v>
      </c>
      <c r="BO127" t="str">
        <f t="shared" si="309"/>
        <v>33 Protective service occupations</v>
      </c>
      <c r="BP127" s="26">
        <f t="shared" si="298"/>
        <v>-0.23579856333323246</v>
      </c>
      <c r="BQ127" s="26">
        <f t="shared" si="298"/>
        <v>0.39229174318749838</v>
      </c>
      <c r="BR127" s="26">
        <f t="shared" si="298"/>
        <v>9.1585734868072421E-2</v>
      </c>
      <c r="BS127" s="26">
        <f t="shared" si="298"/>
        <v>-1.2909900788663018</v>
      </c>
      <c r="BT127" s="26">
        <f t="shared" si="299"/>
        <v>-1.1994043439982294</v>
      </c>
      <c r="BZ127" t="str">
        <f t="shared" si="310"/>
        <v>33 Protective service occupations</v>
      </c>
      <c r="CA127" s="67">
        <f t="shared" si="300"/>
        <v>0.58258870534569862</v>
      </c>
      <c r="CB127" s="67">
        <f t="shared" si="300"/>
        <v>2.3363802825040025E-2</v>
      </c>
      <c r="CC127" s="67">
        <f t="shared" si="300"/>
        <v>0.41685389205281353</v>
      </c>
      <c r="CD127" s="67">
        <f t="shared" si="300"/>
        <v>0.13940061981609908</v>
      </c>
      <c r="CE127" s="67">
        <f t="shared" si="301"/>
        <v>0.55625451186891262</v>
      </c>
      <c r="CK127" t="str">
        <f t="shared" si="311"/>
        <v>33 Protective service occupations</v>
      </c>
      <c r="CL127" s="67">
        <f t="shared" si="302"/>
        <v>-2.4900514620829289E-2</v>
      </c>
      <c r="CM127" s="67">
        <f t="shared" si="302"/>
        <v>0.10248732520228435</v>
      </c>
      <c r="CN127" s="67">
        <f t="shared" si="302"/>
        <v>-7.8966552500867981E-2</v>
      </c>
      <c r="CO127" s="67">
        <f t="shared" si="302"/>
        <v>1.658545654895166E-2</v>
      </c>
      <c r="CP127" s="67">
        <f t="shared" si="303"/>
        <v>-6.2381095951916321E-2</v>
      </c>
    </row>
    <row r="128" spans="1:94" x14ac:dyDescent="0.2">
      <c r="A128" t="str">
        <f t="shared" si="285"/>
        <v>34 Culture, media and sports occupations</v>
      </c>
      <c r="B128" s="26">
        <f t="shared" si="286"/>
        <v>0.34623216820036695</v>
      </c>
      <c r="C128" s="26">
        <f t="shared" si="286"/>
        <v>-4.2843175129702038E-2</v>
      </c>
      <c r="D128" s="26">
        <f t="shared" si="286"/>
        <v>0.2010245605875669</v>
      </c>
      <c r="E128" s="26">
        <f t="shared" si="286"/>
        <v>0.54131615326283056</v>
      </c>
      <c r="F128" s="26">
        <f t="shared" si="287"/>
        <v>0.74234071385039746</v>
      </c>
      <c r="L128" t="str">
        <f t="shared" si="304"/>
        <v>34 Culture, media and sports occupations</v>
      </c>
      <c r="M128" s="26">
        <f t="shared" si="288"/>
        <v>3.3884420623537217</v>
      </c>
      <c r="N128" s="26">
        <f t="shared" si="288"/>
        <v>0.40007773715781525</v>
      </c>
      <c r="O128" s="26">
        <f t="shared" si="288"/>
        <v>3.5903069263952201</v>
      </c>
      <c r="P128" s="26">
        <f t="shared" si="288"/>
        <v>8.6031087076691328</v>
      </c>
      <c r="Q128" s="26">
        <f t="shared" si="289"/>
        <v>12.193415634064353</v>
      </c>
      <c r="W128" t="str">
        <f t="shared" si="305"/>
        <v>34 Culture, media and sports occupations</v>
      </c>
      <c r="X128" s="26">
        <f t="shared" si="290"/>
        <v>0.40015750230955405</v>
      </c>
      <c r="Y128" s="26">
        <f t="shared" si="290"/>
        <v>0.21755799060064618</v>
      </c>
      <c r="Z128" s="26">
        <f t="shared" si="290"/>
        <v>1.4309586064866124</v>
      </c>
      <c r="AA128" s="26">
        <f t="shared" si="290"/>
        <v>1.9561692854810104</v>
      </c>
      <c r="AB128" s="26">
        <f t="shared" si="291"/>
        <v>3.3871278919676229</v>
      </c>
      <c r="AH128" t="str">
        <f t="shared" si="306"/>
        <v>34 Culture, media and sports occupations</v>
      </c>
      <c r="AI128" s="26">
        <f t="shared" si="292"/>
        <v>-0.16780766460119434</v>
      </c>
      <c r="AJ128" s="26">
        <f t="shared" si="292"/>
        <v>0.55031028547029148</v>
      </c>
      <c r="AK128" s="26">
        <f t="shared" si="292"/>
        <v>0.17867165737802715</v>
      </c>
      <c r="AL128" s="26">
        <f t="shared" si="292"/>
        <v>0.72876222857374451</v>
      </c>
      <c r="AM128" s="26">
        <f t="shared" si="293"/>
        <v>0.90743388595177166</v>
      </c>
      <c r="AS128" t="str">
        <f t="shared" si="307"/>
        <v>34 Culture, media and sports occupations</v>
      </c>
      <c r="AT128" s="26">
        <f t="shared" si="294"/>
        <v>-0.15057012729213115</v>
      </c>
      <c r="AU128" s="26">
        <f t="shared" si="294"/>
        <v>3.3383878699321912E-2</v>
      </c>
      <c r="AV128" s="26">
        <f t="shared" si="294"/>
        <v>2.141106607975285E-3</v>
      </c>
      <c r="AW128" s="26">
        <f t="shared" si="294"/>
        <v>9.115915607769276E-2</v>
      </c>
      <c r="AX128" s="26">
        <f t="shared" si="295"/>
        <v>9.3300262685668045E-2</v>
      </c>
      <c r="BD128" t="str">
        <f t="shared" si="308"/>
        <v>34 Culture, media and sports occupations</v>
      </c>
      <c r="BE128" s="26">
        <f t="shared" si="296"/>
        <v>0.47460456336861689</v>
      </c>
      <c r="BF128" s="26">
        <f t="shared" si="296"/>
        <v>-0.70899210259021039</v>
      </c>
      <c r="BG128" s="26">
        <f t="shared" si="296"/>
        <v>-0.28509809792642038</v>
      </c>
      <c r="BH128" s="26">
        <f t="shared" si="296"/>
        <v>0.87313973618512897</v>
      </c>
      <c r="BI128" s="26">
        <f t="shared" si="297"/>
        <v>0.58804163825870859</v>
      </c>
      <c r="BO128" t="str">
        <f t="shared" si="309"/>
        <v>34 Culture, media and sports occupations</v>
      </c>
      <c r="BP128" s="26">
        <f t="shared" si="298"/>
        <v>-0.36477240197623839</v>
      </c>
      <c r="BQ128" s="26">
        <f t="shared" si="298"/>
        <v>-0.66266820085774825</v>
      </c>
      <c r="BR128" s="26">
        <f t="shared" si="298"/>
        <v>-1.0903524485752687</v>
      </c>
      <c r="BS128" s="26">
        <f t="shared" si="298"/>
        <v>-1.4586480737978027</v>
      </c>
      <c r="BT128" s="26">
        <f t="shared" si="299"/>
        <v>-2.5490005223730714</v>
      </c>
      <c r="BZ128" t="str">
        <f t="shared" si="310"/>
        <v>34 Culture, media and sports occupations</v>
      </c>
      <c r="CA128" s="67">
        <f t="shared" si="300"/>
        <v>0.89324193169939159</v>
      </c>
      <c r="CB128" s="67">
        <f t="shared" si="300"/>
        <v>-0.42025221736280205</v>
      </c>
      <c r="CC128" s="67">
        <f t="shared" si="300"/>
        <v>-0.6974600341354007</v>
      </c>
      <c r="CD128" s="67">
        <f t="shared" si="300"/>
        <v>-0.71316501293590218</v>
      </c>
      <c r="CE128" s="67">
        <f t="shared" si="301"/>
        <v>-1.4106250470713029</v>
      </c>
      <c r="CK128" t="str">
        <f t="shared" si="311"/>
        <v>34 Culture, media and sports occupations</v>
      </c>
      <c r="CL128" s="67">
        <f t="shared" si="302"/>
        <v>0.18935562159941211</v>
      </c>
      <c r="CM128" s="67">
        <f t="shared" si="302"/>
        <v>0.1785068237352132</v>
      </c>
      <c r="CN128" s="67">
        <f t="shared" si="302"/>
        <v>-0.1215455393686018</v>
      </c>
      <c r="CO128" s="67">
        <f t="shared" si="302"/>
        <v>-0.15688933030874352</v>
      </c>
      <c r="CP128" s="67">
        <f t="shared" si="303"/>
        <v>-0.27843486967734532</v>
      </c>
    </row>
    <row r="129" spans="1:94" x14ac:dyDescent="0.2">
      <c r="A129" t="str">
        <f t="shared" si="285"/>
        <v>35 Business and public service associate professionals</v>
      </c>
      <c r="B129" s="26">
        <f t="shared" si="286"/>
        <v>0.52073391308522443</v>
      </c>
      <c r="C129" s="26">
        <f t="shared" si="286"/>
        <v>-9.5275055515280815E-2</v>
      </c>
      <c r="D129" s="26">
        <f t="shared" si="286"/>
        <v>0.68345984853134301</v>
      </c>
      <c r="E129" s="26">
        <f t="shared" si="286"/>
        <v>1.585234533746871</v>
      </c>
      <c r="F129" s="26">
        <f t="shared" si="287"/>
        <v>2.268694382278214</v>
      </c>
      <c r="L129" t="str">
        <f t="shared" si="304"/>
        <v>35 Business and public service associate professionals</v>
      </c>
      <c r="M129" s="26">
        <f t="shared" si="288"/>
        <v>5.4472120913794946</v>
      </c>
      <c r="N129" s="26">
        <f t="shared" si="288"/>
        <v>1.1406400608304494</v>
      </c>
      <c r="O129" s="26">
        <f t="shared" si="288"/>
        <v>6.391180641155092</v>
      </c>
      <c r="P129" s="26">
        <f t="shared" si="288"/>
        <v>14.048402503300736</v>
      </c>
      <c r="Q129" s="26">
        <f t="shared" si="289"/>
        <v>20.439583144455828</v>
      </c>
      <c r="W129" t="str">
        <f t="shared" si="305"/>
        <v>35 Business and public service associate professionals</v>
      </c>
      <c r="X129" s="26">
        <f t="shared" si="290"/>
        <v>0.87357937079661951</v>
      </c>
      <c r="Y129" s="26">
        <f t="shared" si="290"/>
        <v>2.2760598516647974</v>
      </c>
      <c r="Z129" s="26">
        <f t="shared" si="290"/>
        <v>1.2480672850157362</v>
      </c>
      <c r="AA129" s="26">
        <f t="shared" si="290"/>
        <v>1.5888988965566924</v>
      </c>
      <c r="AB129" s="26">
        <f t="shared" si="291"/>
        <v>2.8369661815724285</v>
      </c>
      <c r="AH129" t="str">
        <f t="shared" si="306"/>
        <v>35 Business and public service associate professionals</v>
      </c>
      <c r="AI129" s="26">
        <f t="shared" si="292"/>
        <v>7.1946301620089415E-2</v>
      </c>
      <c r="AJ129" s="26">
        <f t="shared" si="292"/>
        <v>1.2114022774757256</v>
      </c>
      <c r="AK129" s="26">
        <f t="shared" si="292"/>
        <v>0.30918261780659151</v>
      </c>
      <c r="AL129" s="26">
        <f t="shared" si="292"/>
        <v>1.0685139793763234</v>
      </c>
      <c r="AM129" s="26">
        <f t="shared" si="293"/>
        <v>1.3776965971829149</v>
      </c>
      <c r="AS129" t="str">
        <f t="shared" si="307"/>
        <v>35 Business and public service associate professionals</v>
      </c>
      <c r="AT129" s="26">
        <f t="shared" si="294"/>
        <v>-0.27444355980490442</v>
      </c>
      <c r="AU129" s="26">
        <f t="shared" si="294"/>
        <v>0.68761223426995599</v>
      </c>
      <c r="AV129" s="26">
        <f t="shared" si="294"/>
        <v>-3.1751249681260418E-2</v>
      </c>
      <c r="AW129" s="26">
        <f t="shared" si="294"/>
        <v>0.55466154026276193</v>
      </c>
      <c r="AX129" s="26">
        <f t="shared" si="295"/>
        <v>0.52291029058150151</v>
      </c>
      <c r="BD129" t="str">
        <f t="shared" si="308"/>
        <v>35 Business and public service associate professionals</v>
      </c>
      <c r="BE129" s="26">
        <f t="shared" si="296"/>
        <v>2.5392950522513686</v>
      </c>
      <c r="BF129" s="26">
        <f t="shared" si="296"/>
        <v>1.0095185788726866</v>
      </c>
      <c r="BG129" s="26">
        <f t="shared" si="296"/>
        <v>-3.2249481594799434</v>
      </c>
      <c r="BH129" s="26">
        <f t="shared" si="296"/>
        <v>-0.8291801514145547</v>
      </c>
      <c r="BI129" s="26">
        <f t="shared" si="297"/>
        <v>-4.0541283108944981</v>
      </c>
      <c r="BO129" t="str">
        <f t="shared" si="309"/>
        <v>35 Business and public service associate professionals</v>
      </c>
      <c r="BP129" s="26">
        <f t="shared" si="298"/>
        <v>-1.012602015336121</v>
      </c>
      <c r="BQ129" s="26">
        <f t="shared" si="298"/>
        <v>1.4809885638264646</v>
      </c>
      <c r="BR129" s="26">
        <f t="shared" si="298"/>
        <v>-5.4780671419254432</v>
      </c>
      <c r="BS129" s="26">
        <f t="shared" si="298"/>
        <v>-5.3049754753757181</v>
      </c>
      <c r="BT129" s="26">
        <f t="shared" si="299"/>
        <v>-10.783042617301161</v>
      </c>
      <c r="BZ129" t="str">
        <f t="shared" si="310"/>
        <v>35 Business and public service associate professionals</v>
      </c>
      <c r="CA129" s="67">
        <f t="shared" si="300"/>
        <v>3.3965198273080972</v>
      </c>
      <c r="CB129" s="67">
        <f t="shared" si="300"/>
        <v>-0.74330165967442241</v>
      </c>
      <c r="CC129" s="67">
        <f t="shared" si="300"/>
        <v>-3.1925210004352316</v>
      </c>
      <c r="CD129" s="67">
        <f t="shared" si="300"/>
        <v>-3.6304080365086087</v>
      </c>
      <c r="CE129" s="67">
        <f t="shared" si="301"/>
        <v>-6.8229290369438402</v>
      </c>
      <c r="CK129" t="str">
        <f t="shared" si="311"/>
        <v>35 Business and public service associate professionals</v>
      </c>
      <c r="CL129" s="67">
        <f t="shared" si="302"/>
        <v>0.16824972820498463</v>
      </c>
      <c r="CM129" s="67">
        <f t="shared" si="302"/>
        <v>0.59787233460763467</v>
      </c>
      <c r="CN129" s="67">
        <f t="shared" si="302"/>
        <v>-0.81875198413543515</v>
      </c>
      <c r="CO129" s="67">
        <f t="shared" si="302"/>
        <v>-0.47953284522987394</v>
      </c>
      <c r="CP129" s="67">
        <f t="shared" si="303"/>
        <v>-1.2982848293653091</v>
      </c>
    </row>
    <row r="130" spans="1:94" x14ac:dyDescent="0.2">
      <c r="A130" t="str">
        <f t="shared" si="285"/>
        <v>41 Administrative occupations</v>
      </c>
      <c r="B130" s="26">
        <f t="shared" si="286"/>
        <v>0.26474425515532185</v>
      </c>
      <c r="C130" s="26">
        <f t="shared" si="286"/>
        <v>-1.8587088455555456E-2</v>
      </c>
      <c r="D130" s="26">
        <f t="shared" si="286"/>
        <v>0.42118150035801261</v>
      </c>
      <c r="E130" s="26">
        <f t="shared" si="286"/>
        <v>1.1503660152955808</v>
      </c>
      <c r="F130" s="26">
        <f t="shared" si="287"/>
        <v>1.5715475156535934</v>
      </c>
      <c r="L130" t="str">
        <f t="shared" si="304"/>
        <v>41 Administrative occupations</v>
      </c>
      <c r="M130" s="26">
        <f t="shared" si="288"/>
        <v>2.9621356100614324</v>
      </c>
      <c r="N130" s="26">
        <f t="shared" si="288"/>
        <v>1.2965939148185459</v>
      </c>
      <c r="O130" s="26">
        <f t="shared" si="288"/>
        <v>4.5700677737619557</v>
      </c>
      <c r="P130" s="26">
        <f t="shared" si="288"/>
        <v>12.180980738384196</v>
      </c>
      <c r="Q130" s="26">
        <f t="shared" si="289"/>
        <v>16.751048512146152</v>
      </c>
      <c r="W130" t="str">
        <f t="shared" si="305"/>
        <v>41 Administrative occupations</v>
      </c>
      <c r="X130" s="26">
        <f t="shared" si="290"/>
        <v>-1.6796079700046818</v>
      </c>
      <c r="Y130" s="26">
        <f t="shared" si="290"/>
        <v>5.8011096702125968</v>
      </c>
      <c r="Z130" s="26">
        <f t="shared" si="290"/>
        <v>3.8929167536397031</v>
      </c>
      <c r="AA130" s="26">
        <f t="shared" si="290"/>
        <v>7.0071833313859528</v>
      </c>
      <c r="AB130" s="26">
        <f t="shared" si="291"/>
        <v>10.900100085025656</v>
      </c>
      <c r="AH130" t="str">
        <f t="shared" si="306"/>
        <v>41 Administrative occupations</v>
      </c>
      <c r="AI130" s="26">
        <f t="shared" si="292"/>
        <v>-0.5895500652354233</v>
      </c>
      <c r="AJ130" s="26">
        <f t="shared" si="292"/>
        <v>1.7663916207034891</v>
      </c>
      <c r="AK130" s="26">
        <f t="shared" si="292"/>
        <v>0.89399037599891074</v>
      </c>
      <c r="AL130" s="26">
        <f t="shared" si="292"/>
        <v>2.2856957547402743</v>
      </c>
      <c r="AM130" s="26">
        <f t="shared" si="293"/>
        <v>3.179686130739185</v>
      </c>
      <c r="AS130" t="str">
        <f t="shared" si="307"/>
        <v>41 Administrative occupations</v>
      </c>
      <c r="AT130" s="26">
        <f t="shared" si="294"/>
        <v>-0.47952688554554967</v>
      </c>
      <c r="AU130" s="26">
        <f t="shared" si="294"/>
        <v>1.9064913833414057</v>
      </c>
      <c r="AV130" s="26">
        <f t="shared" si="294"/>
        <v>0.56961921938629345</v>
      </c>
      <c r="AW130" s="26">
        <f t="shared" si="294"/>
        <v>1.929988883853305</v>
      </c>
      <c r="AX130" s="26">
        <f t="shared" si="295"/>
        <v>2.4996081032395985</v>
      </c>
      <c r="BD130" t="str">
        <f t="shared" si="308"/>
        <v>41 Administrative occupations</v>
      </c>
      <c r="BE130" s="26">
        <f t="shared" si="296"/>
        <v>1.4590562827888789</v>
      </c>
      <c r="BF130" s="26">
        <f t="shared" si="296"/>
        <v>1.7071702866694807</v>
      </c>
      <c r="BG130" s="26">
        <f t="shared" si="296"/>
        <v>-4.7754587336180592</v>
      </c>
      <c r="BH130" s="26">
        <f t="shared" si="296"/>
        <v>-6.0715304032723054</v>
      </c>
      <c r="BI130" s="26">
        <f t="shared" si="297"/>
        <v>-10.846989136890365</v>
      </c>
      <c r="BO130" t="str">
        <f t="shared" si="309"/>
        <v>41 Administrative occupations</v>
      </c>
      <c r="BP130" s="26">
        <f t="shared" si="298"/>
        <v>-5.0446867634065029</v>
      </c>
      <c r="BQ130" s="26">
        <f t="shared" si="298"/>
        <v>-1.394539775347738</v>
      </c>
      <c r="BR130" s="26">
        <f t="shared" si="298"/>
        <v>-12.38696303511005</v>
      </c>
      <c r="BS130" s="26">
        <f t="shared" si="298"/>
        <v>-16.806927909680862</v>
      </c>
      <c r="BT130" s="26">
        <f t="shared" si="299"/>
        <v>-29.193890944790912</v>
      </c>
      <c r="BZ130" t="str">
        <f t="shared" si="310"/>
        <v>41 Administrative occupations</v>
      </c>
      <c r="CA130" s="67">
        <f t="shared" si="300"/>
        <v>1.3384493209111064</v>
      </c>
      <c r="CB130" s="67">
        <f t="shared" si="300"/>
        <v>0.71894555624561818</v>
      </c>
      <c r="CC130" s="67">
        <f t="shared" si="300"/>
        <v>-9.5503889496137653</v>
      </c>
      <c r="CD130" s="67">
        <f t="shared" si="300"/>
        <v>-12.110963593576209</v>
      </c>
      <c r="CE130" s="67">
        <f t="shared" si="301"/>
        <v>-21.661352543189974</v>
      </c>
      <c r="CK130" t="str">
        <f t="shared" si="311"/>
        <v>41 Administrative occupations</v>
      </c>
      <c r="CL130" s="67">
        <f t="shared" si="302"/>
        <v>-0.8966189238901956</v>
      </c>
      <c r="CM130" s="67">
        <f t="shared" si="302"/>
        <v>0.52728179538671949</v>
      </c>
      <c r="CN130" s="67">
        <f t="shared" si="302"/>
        <v>-1.7189700540721429</v>
      </c>
      <c r="CO130" s="67">
        <f t="shared" si="302"/>
        <v>-1.6901993317562063</v>
      </c>
      <c r="CP130" s="67">
        <f t="shared" si="303"/>
        <v>-3.4091693858283492</v>
      </c>
    </row>
    <row r="131" spans="1:94" x14ac:dyDescent="0.2">
      <c r="A131" t="str">
        <f t="shared" si="285"/>
        <v>42 Secretarial and related occupations</v>
      </c>
      <c r="B131" s="26">
        <f t="shared" si="286"/>
        <v>3.4555517969121999E-2</v>
      </c>
      <c r="C131" s="26">
        <f t="shared" si="286"/>
        <v>-1.3763225004801483E-2</v>
      </c>
      <c r="D131" s="26">
        <f t="shared" si="286"/>
        <v>0.10050195445644988</v>
      </c>
      <c r="E131" s="26">
        <f t="shared" si="286"/>
        <v>0.28421324451097907</v>
      </c>
      <c r="F131" s="26">
        <f t="shared" si="287"/>
        <v>0.38471519896742895</v>
      </c>
      <c r="L131" t="str">
        <f t="shared" si="304"/>
        <v>42 Secretarial and related occupations</v>
      </c>
      <c r="M131" s="26">
        <f t="shared" si="288"/>
        <v>0.17904266947962277</v>
      </c>
      <c r="N131" s="26">
        <f t="shared" si="288"/>
        <v>0.18397309655525085</v>
      </c>
      <c r="O131" s="26">
        <f t="shared" si="288"/>
        <v>1.9629091567265986</v>
      </c>
      <c r="P131" s="26">
        <f t="shared" si="288"/>
        <v>2.1205153005919124</v>
      </c>
      <c r="Q131" s="26">
        <f t="shared" si="289"/>
        <v>4.083424457318511</v>
      </c>
      <c r="W131" t="str">
        <f t="shared" si="305"/>
        <v>42 Secretarial and related occupations</v>
      </c>
      <c r="X131" s="26">
        <f t="shared" si="290"/>
        <v>-0.76125777279805806</v>
      </c>
      <c r="Y131" s="26">
        <f t="shared" si="290"/>
        <v>0.57659297416590416</v>
      </c>
      <c r="Z131" s="26">
        <f t="shared" si="290"/>
        <v>4.4652028256046794</v>
      </c>
      <c r="AA131" s="26">
        <f t="shared" si="290"/>
        <v>9.7607167057333335</v>
      </c>
      <c r="AB131" s="26">
        <f t="shared" si="291"/>
        <v>14.225919531338013</v>
      </c>
      <c r="AH131" t="str">
        <f t="shared" si="306"/>
        <v>42 Secretarial and related occupations</v>
      </c>
      <c r="AI131" s="26">
        <f t="shared" si="292"/>
        <v>-0.62705723774236244</v>
      </c>
      <c r="AJ131" s="26">
        <f t="shared" si="292"/>
        <v>0.54242479110426345</v>
      </c>
      <c r="AK131" s="26">
        <f t="shared" si="292"/>
        <v>1.5051313010793788</v>
      </c>
      <c r="AL131" s="26">
        <f t="shared" si="292"/>
        <v>0.74454737857528386</v>
      </c>
      <c r="AM131" s="26">
        <f t="shared" si="293"/>
        <v>2.2496786796546626</v>
      </c>
      <c r="AS131" t="str">
        <f t="shared" si="307"/>
        <v>42 Secretarial and related occupations</v>
      </c>
      <c r="AT131" s="26">
        <f t="shared" si="294"/>
        <v>-0.50740101485914879</v>
      </c>
      <c r="AU131" s="26">
        <f t="shared" si="294"/>
        <v>0.5723920226935193</v>
      </c>
      <c r="AV131" s="26">
        <f t="shared" si="294"/>
        <v>0.89219427932721285</v>
      </c>
      <c r="AW131" s="26">
        <f t="shared" si="294"/>
        <v>2.0751935465590767</v>
      </c>
      <c r="AX131" s="26">
        <f t="shared" si="295"/>
        <v>2.9673878258862896</v>
      </c>
      <c r="BD131" t="str">
        <f t="shared" si="308"/>
        <v>42 Secretarial and related occupations</v>
      </c>
      <c r="BE131" s="26">
        <f t="shared" si="296"/>
        <v>-0.48726552145183533</v>
      </c>
      <c r="BF131" s="26">
        <f t="shared" si="296"/>
        <v>-0.75335853105621986</v>
      </c>
      <c r="BG131" s="26">
        <f t="shared" si="296"/>
        <v>1.5264766891649906</v>
      </c>
      <c r="BH131" s="26">
        <f t="shared" si="296"/>
        <v>-7.7301670720293565</v>
      </c>
      <c r="BI131" s="26">
        <f t="shared" si="297"/>
        <v>-6.2036903828643659</v>
      </c>
      <c r="BO131" t="str">
        <f t="shared" si="309"/>
        <v>42 Secretarial and related occupations</v>
      </c>
      <c r="BP131" s="26">
        <f t="shared" si="298"/>
        <v>-2.6611564486734398</v>
      </c>
      <c r="BQ131" s="26">
        <f t="shared" si="298"/>
        <v>-2.0695634693598439</v>
      </c>
      <c r="BR131" s="26">
        <f t="shared" si="298"/>
        <v>-2.5906249214844976</v>
      </c>
      <c r="BS131" s="26">
        <f t="shared" si="298"/>
        <v>-7.1059118018816214</v>
      </c>
      <c r="BT131" s="26">
        <f t="shared" si="299"/>
        <v>-9.696536723366119</v>
      </c>
      <c r="BZ131" t="str">
        <f t="shared" si="310"/>
        <v>42 Secretarial and related occupations</v>
      </c>
      <c r="CA131" s="67">
        <f t="shared" si="300"/>
        <v>0.77799508405230355</v>
      </c>
      <c r="CB131" s="67">
        <f t="shared" si="300"/>
        <v>-0.39685911388767714</v>
      </c>
      <c r="CC131" s="67">
        <f t="shared" si="300"/>
        <v>-4.6529395022556725</v>
      </c>
      <c r="CD131" s="67">
        <f t="shared" si="300"/>
        <v>-4.5573387038907942</v>
      </c>
      <c r="CE131" s="67">
        <f t="shared" si="301"/>
        <v>-9.2102782061464676</v>
      </c>
      <c r="CK131" t="str">
        <f t="shared" si="311"/>
        <v>42 Secretarial and related occupations</v>
      </c>
      <c r="CL131" s="67">
        <f t="shared" si="302"/>
        <v>-0.23283590023892531</v>
      </c>
      <c r="CM131" s="67">
        <f t="shared" si="302"/>
        <v>0.11103567224617295</v>
      </c>
      <c r="CN131" s="67">
        <f t="shared" si="302"/>
        <v>7.4226166070588073E-2</v>
      </c>
      <c r="CO131" s="67">
        <f t="shared" si="302"/>
        <v>-1.3765022726801717</v>
      </c>
      <c r="CP131" s="67">
        <f t="shared" si="303"/>
        <v>-1.3022761066095836</v>
      </c>
    </row>
    <row r="132" spans="1:94" x14ac:dyDescent="0.2">
      <c r="A132" t="str">
        <f t="shared" si="285"/>
        <v>51 Skilled agricultural and related trades</v>
      </c>
      <c r="B132" s="26">
        <f t="shared" si="286"/>
        <v>6.9423202806629808E-2</v>
      </c>
      <c r="C132" s="26">
        <f t="shared" si="286"/>
        <v>-2.114698128069023E-2</v>
      </c>
      <c r="D132" s="26">
        <f t="shared" si="286"/>
        <v>4.4457889576420162E-2</v>
      </c>
      <c r="E132" s="26">
        <f t="shared" si="286"/>
        <v>0.13077577415878147</v>
      </c>
      <c r="F132" s="26">
        <f t="shared" si="287"/>
        <v>0.17523366373520163</v>
      </c>
      <c r="L132" t="str">
        <f t="shared" si="304"/>
        <v>51 Skilled agricultural and related trades</v>
      </c>
      <c r="M132" s="26">
        <f t="shared" si="288"/>
        <v>4.6086767778137694E-2</v>
      </c>
      <c r="N132" s="26">
        <f t="shared" si="288"/>
        <v>5.747454416105946E-2</v>
      </c>
      <c r="O132" s="26">
        <f t="shared" si="288"/>
        <v>0.22704719722807132</v>
      </c>
      <c r="P132" s="26">
        <f t="shared" si="288"/>
        <v>0.57725483211827244</v>
      </c>
      <c r="Q132" s="26">
        <f t="shared" si="289"/>
        <v>0.80430202934634376</v>
      </c>
      <c r="W132" t="str">
        <f t="shared" si="305"/>
        <v>51 Skilled agricultural and related trades</v>
      </c>
      <c r="X132" s="26">
        <f t="shared" si="290"/>
        <v>-0.27619253640307839</v>
      </c>
      <c r="Y132" s="26">
        <f t="shared" si="290"/>
        <v>0.96684484625422407</v>
      </c>
      <c r="Z132" s="26">
        <f t="shared" si="290"/>
        <v>1.2310469629202947</v>
      </c>
      <c r="AA132" s="26">
        <f t="shared" si="290"/>
        <v>2.6496634151362661</v>
      </c>
      <c r="AB132" s="26">
        <f t="shared" si="291"/>
        <v>3.8807103780565608</v>
      </c>
      <c r="AH132" t="str">
        <f t="shared" si="306"/>
        <v>51 Skilled agricultural and related trades</v>
      </c>
      <c r="AI132" s="26">
        <f t="shared" si="292"/>
        <v>0.10220528494209535</v>
      </c>
      <c r="AJ132" s="26">
        <f t="shared" si="292"/>
        <v>6.7512647072438536E-2</v>
      </c>
      <c r="AK132" s="26">
        <f t="shared" si="292"/>
        <v>0.65673745470714096</v>
      </c>
      <c r="AL132" s="26">
        <f t="shared" si="292"/>
        <v>1.1133018693311736</v>
      </c>
      <c r="AM132" s="26">
        <f t="shared" si="293"/>
        <v>1.7700393240383145</v>
      </c>
      <c r="AS132" t="str">
        <f t="shared" si="307"/>
        <v>51 Skilled agricultural and related trades</v>
      </c>
      <c r="AT132" s="26">
        <f t="shared" si="294"/>
        <v>-4.3248839397065808E-2</v>
      </c>
      <c r="AU132" s="26">
        <f t="shared" si="294"/>
        <v>0.16056568592693532</v>
      </c>
      <c r="AV132" s="26">
        <f t="shared" si="294"/>
        <v>0.7055556035721291</v>
      </c>
      <c r="AW132" s="26">
        <f t="shared" si="294"/>
        <v>1.4233060212839224</v>
      </c>
      <c r="AX132" s="26">
        <f t="shared" si="295"/>
        <v>2.1288616248560515</v>
      </c>
      <c r="BD132" t="str">
        <f t="shared" si="308"/>
        <v>51 Skilled agricultural and related trades</v>
      </c>
      <c r="BE132" s="26">
        <f t="shared" si="296"/>
        <v>-0.46219005863708063</v>
      </c>
      <c r="BF132" s="26">
        <f t="shared" si="296"/>
        <v>0.1098269143803412</v>
      </c>
      <c r="BG132" s="26">
        <f t="shared" si="296"/>
        <v>-2.5924733327366667E-2</v>
      </c>
      <c r="BH132" s="26">
        <f t="shared" si="296"/>
        <v>0.51051208815319971</v>
      </c>
      <c r="BI132" s="26">
        <f t="shared" si="297"/>
        <v>0.48458735482583304</v>
      </c>
      <c r="BO132" t="str">
        <f t="shared" si="309"/>
        <v>51 Skilled agricultural and related trades</v>
      </c>
      <c r="BP132" s="26">
        <f t="shared" si="298"/>
        <v>-1.431149697301052</v>
      </c>
      <c r="BQ132" s="26">
        <f t="shared" si="298"/>
        <v>0.39106496320004069</v>
      </c>
      <c r="BR132" s="26">
        <f t="shared" si="298"/>
        <v>-0.76713320188768996</v>
      </c>
      <c r="BS132" s="26">
        <f t="shared" si="298"/>
        <v>-0.36159386722508025</v>
      </c>
      <c r="BT132" s="26">
        <f t="shared" si="299"/>
        <v>-1.1287270691127702</v>
      </c>
      <c r="BZ132" t="str">
        <f t="shared" si="310"/>
        <v>51 Skilled agricultural and related trades</v>
      </c>
      <c r="CA132" s="67">
        <f t="shared" si="300"/>
        <v>0.7345479078572712</v>
      </c>
      <c r="CB132" s="67">
        <f t="shared" si="300"/>
        <v>-0.56120453708097529</v>
      </c>
      <c r="CC132" s="67">
        <f t="shared" si="300"/>
        <v>-0.46446267516951156</v>
      </c>
      <c r="CD132" s="67">
        <f t="shared" si="300"/>
        <v>0.67442420886083188</v>
      </c>
      <c r="CE132" s="67">
        <f t="shared" si="301"/>
        <v>0.20996153369132031</v>
      </c>
      <c r="CK132" t="str">
        <f t="shared" si="311"/>
        <v>51 Skilled agricultural and related trades</v>
      </c>
      <c r="CL132" s="67">
        <f t="shared" si="302"/>
        <v>0.12244852317408661</v>
      </c>
      <c r="CM132" s="67">
        <f t="shared" si="302"/>
        <v>2.28228067524386</v>
      </c>
      <c r="CN132" s="67">
        <f t="shared" si="302"/>
        <v>-1.3599464593478254</v>
      </c>
      <c r="CO132" s="67">
        <f t="shared" si="302"/>
        <v>-2.8360567849342377</v>
      </c>
      <c r="CP132" s="67">
        <f t="shared" si="303"/>
        <v>-4.1960032442820632</v>
      </c>
    </row>
    <row r="133" spans="1:94" x14ac:dyDescent="0.2">
      <c r="A133" t="str">
        <f t="shared" si="285"/>
        <v>52 Skilled metal, electrical and electronic trades</v>
      </c>
      <c r="B133" s="26">
        <f t="shared" si="286"/>
        <v>2.7175829594999826E-2</v>
      </c>
      <c r="C133" s="26">
        <f t="shared" si="286"/>
        <v>-1.2451364914983082E-3</v>
      </c>
      <c r="D133" s="26">
        <f t="shared" si="286"/>
        <v>4.8412826132196038E-2</v>
      </c>
      <c r="E133" s="26">
        <f t="shared" si="286"/>
        <v>8.8954312805281377E-2</v>
      </c>
      <c r="F133" s="26">
        <f t="shared" si="287"/>
        <v>0.13736713893747743</v>
      </c>
      <c r="L133" t="str">
        <f t="shared" si="304"/>
        <v>52 Skilled metal, electrical and electronic trades</v>
      </c>
      <c r="M133" s="26">
        <f t="shared" si="288"/>
        <v>0.55328860660176638</v>
      </c>
      <c r="N133" s="26">
        <f t="shared" si="288"/>
        <v>-0.52218625007635211</v>
      </c>
      <c r="O133" s="26">
        <f t="shared" si="288"/>
        <v>1.6269129751973921</v>
      </c>
      <c r="P133" s="26">
        <f t="shared" si="288"/>
        <v>3.3804707661427451</v>
      </c>
      <c r="Q133" s="26">
        <f t="shared" si="289"/>
        <v>5.0073837413401368</v>
      </c>
      <c r="W133" t="str">
        <f t="shared" si="305"/>
        <v>52 Skilled metal, electrical and electronic trades</v>
      </c>
      <c r="X133" s="26">
        <f t="shared" si="290"/>
        <v>0.166915876307141</v>
      </c>
      <c r="Y133" s="26">
        <f t="shared" si="290"/>
        <v>-0.95007310224843522</v>
      </c>
      <c r="Z133" s="26">
        <f t="shared" si="290"/>
        <v>1.8835864345499376</v>
      </c>
      <c r="AA133" s="26">
        <f t="shared" si="290"/>
        <v>2.2643103471964485</v>
      </c>
      <c r="AB133" s="26">
        <f t="shared" si="291"/>
        <v>4.1478967817463861</v>
      </c>
      <c r="AH133" t="str">
        <f t="shared" si="306"/>
        <v>52 Skilled metal, electrical and electronic trades</v>
      </c>
      <c r="AI133" s="26">
        <f t="shared" si="292"/>
        <v>-5.7057972924792644E-2</v>
      </c>
      <c r="AJ133" s="26">
        <f t="shared" si="292"/>
        <v>-0.22663808919664574</v>
      </c>
      <c r="AK133" s="26">
        <f t="shared" si="292"/>
        <v>0.43191966693068617</v>
      </c>
      <c r="AL133" s="26">
        <f t="shared" si="292"/>
        <v>0.52209336094251979</v>
      </c>
      <c r="AM133" s="26">
        <f t="shared" si="293"/>
        <v>0.95401302787320597</v>
      </c>
      <c r="AS133" t="str">
        <f t="shared" si="307"/>
        <v>52 Skilled metal, electrical and electronic trades</v>
      </c>
      <c r="AT133" s="26">
        <f t="shared" si="294"/>
        <v>-0.27597613049388237</v>
      </c>
      <c r="AU133" s="26">
        <f t="shared" si="294"/>
        <v>-0.97112625565260213</v>
      </c>
      <c r="AV133" s="26">
        <f t="shared" si="294"/>
        <v>1.2581563987436715</v>
      </c>
      <c r="AW133" s="26">
        <f t="shared" si="294"/>
        <v>1.8245565862200976</v>
      </c>
      <c r="AX133" s="26">
        <f t="shared" si="295"/>
        <v>3.0827129849637691</v>
      </c>
      <c r="BD133" t="str">
        <f t="shared" si="308"/>
        <v>52 Skilled metal, electrical and electronic trades</v>
      </c>
      <c r="BE133" s="26">
        <f t="shared" si="296"/>
        <v>-0.90348971779084053</v>
      </c>
      <c r="BF133" s="26">
        <f t="shared" si="296"/>
        <v>-6.1183125270140764</v>
      </c>
      <c r="BG133" s="26">
        <f t="shared" si="296"/>
        <v>0.14757412346852306</v>
      </c>
      <c r="BH133" s="26">
        <f t="shared" si="296"/>
        <v>0.3375225661100032</v>
      </c>
      <c r="BI133" s="26">
        <f t="shared" si="297"/>
        <v>0.48509668957852625</v>
      </c>
      <c r="BO133" t="str">
        <f t="shared" si="309"/>
        <v>52 Skilled metal, electrical and electronic trades</v>
      </c>
      <c r="BP133" s="26">
        <f t="shared" si="298"/>
        <v>-3.9712612331300789</v>
      </c>
      <c r="BQ133" s="26">
        <f t="shared" si="298"/>
        <v>-0.76314837084888154</v>
      </c>
      <c r="BR133" s="26">
        <f t="shared" si="298"/>
        <v>-3.8055832926837105</v>
      </c>
      <c r="BS133" s="26">
        <f t="shared" si="298"/>
        <v>-5.2634621967003774</v>
      </c>
      <c r="BT133" s="26">
        <f t="shared" si="299"/>
        <v>-9.0690454893840879</v>
      </c>
      <c r="BZ133" t="str">
        <f t="shared" si="310"/>
        <v>52 Skilled metal, electrical and electronic trades</v>
      </c>
      <c r="CA133" s="67">
        <f t="shared" si="300"/>
        <v>1.9391910510525516</v>
      </c>
      <c r="CB133" s="67">
        <f t="shared" si="300"/>
        <v>-3.3702371021299804</v>
      </c>
      <c r="CC133" s="67">
        <f t="shared" si="300"/>
        <v>-1.1181565067235173</v>
      </c>
      <c r="CD133" s="67">
        <f t="shared" si="300"/>
        <v>-4.833198240183477</v>
      </c>
      <c r="CE133" s="67">
        <f t="shared" si="301"/>
        <v>-5.9513547469069943</v>
      </c>
      <c r="CK133" t="str">
        <f t="shared" si="311"/>
        <v>52 Skilled metal, electrical and electronic trades</v>
      </c>
      <c r="CL133" s="67">
        <f t="shared" si="302"/>
        <v>0.25548042295560158</v>
      </c>
      <c r="CM133" s="67">
        <f t="shared" si="302"/>
        <v>0.79005272158419926</v>
      </c>
      <c r="CN133" s="67">
        <f t="shared" si="302"/>
        <v>-1.2679680247371303</v>
      </c>
      <c r="CO133" s="67">
        <f t="shared" si="302"/>
        <v>-1.5744964040234526</v>
      </c>
      <c r="CP133" s="67">
        <f t="shared" si="303"/>
        <v>-2.8424644287605831</v>
      </c>
    </row>
    <row r="134" spans="1:94" x14ac:dyDescent="0.2">
      <c r="A134" t="str">
        <f t="shared" si="285"/>
        <v>53 Skilled construction and building trades</v>
      </c>
      <c r="B134" s="26">
        <f t="shared" si="286"/>
        <v>-1.4065547894097363E-2</v>
      </c>
      <c r="C134" s="26">
        <f t="shared" si="286"/>
        <v>-1.6034833909723628E-2</v>
      </c>
      <c r="D134" s="26">
        <f t="shared" si="286"/>
        <v>3.3383561472377234E-2</v>
      </c>
      <c r="E134" s="26">
        <f t="shared" si="286"/>
        <v>1.7585522978360954E-2</v>
      </c>
      <c r="F134" s="26">
        <f t="shared" si="287"/>
        <v>5.0969084450738188E-2</v>
      </c>
      <c r="L134" t="str">
        <f t="shared" si="304"/>
        <v>53 Skilled construction and building trades</v>
      </c>
      <c r="M134" s="26">
        <f t="shared" si="288"/>
        <v>0.20288939003333739</v>
      </c>
      <c r="N134" s="26">
        <f t="shared" si="288"/>
        <v>-0.31893066496050804</v>
      </c>
      <c r="O134" s="26">
        <f t="shared" si="288"/>
        <v>0.6303207792426736</v>
      </c>
      <c r="P134" s="26">
        <f t="shared" si="288"/>
        <v>0.74329089378677438</v>
      </c>
      <c r="Q134" s="26">
        <f t="shared" si="289"/>
        <v>1.3736116730294481</v>
      </c>
      <c r="W134" t="str">
        <f t="shared" si="305"/>
        <v>53 Skilled construction and building trades</v>
      </c>
      <c r="X134" s="26">
        <f t="shared" si="290"/>
        <v>-0.29112578512576803</v>
      </c>
      <c r="Y134" s="26">
        <f t="shared" si="290"/>
        <v>-0.702376774666849</v>
      </c>
      <c r="Z134" s="26">
        <f t="shared" si="290"/>
        <v>1.3159706600890084</v>
      </c>
      <c r="AA134" s="26">
        <f t="shared" si="290"/>
        <v>0.98621568394694759</v>
      </c>
      <c r="AB134" s="26">
        <f t="shared" si="291"/>
        <v>2.302186344035956</v>
      </c>
      <c r="AH134" t="str">
        <f t="shared" si="306"/>
        <v>53 Skilled construction and building trades</v>
      </c>
      <c r="AI134" s="26">
        <f t="shared" si="292"/>
        <v>0.29378386603155304</v>
      </c>
      <c r="AJ134" s="26">
        <f t="shared" si="292"/>
        <v>-0.56697719261694646</v>
      </c>
      <c r="AK134" s="26">
        <f t="shared" si="292"/>
        <v>0.87928516200883733</v>
      </c>
      <c r="AL134" s="26">
        <f t="shared" si="292"/>
        <v>0.75740182629565211</v>
      </c>
      <c r="AM134" s="26">
        <f t="shared" si="293"/>
        <v>1.6366869883044894</v>
      </c>
      <c r="AS134" t="str">
        <f t="shared" si="307"/>
        <v>53 Skilled construction and building trades</v>
      </c>
      <c r="AT134" s="26">
        <f t="shared" si="294"/>
        <v>1.9969416837584131E-2</v>
      </c>
      <c r="AU134" s="26">
        <f t="shared" si="294"/>
        <v>-0.69735461869169191</v>
      </c>
      <c r="AV134" s="26">
        <f t="shared" si="294"/>
        <v>1.414151921956583</v>
      </c>
      <c r="AW134" s="26">
        <f t="shared" si="294"/>
        <v>0.94559455578973761</v>
      </c>
      <c r="AX134" s="26">
        <f t="shared" si="295"/>
        <v>2.3597464777463206</v>
      </c>
      <c r="BD134" t="str">
        <f t="shared" si="308"/>
        <v>53 Skilled construction and building trades</v>
      </c>
      <c r="BE134" s="26">
        <f t="shared" si="296"/>
        <v>-0.2617291887834412</v>
      </c>
      <c r="BF134" s="26">
        <f t="shared" si="296"/>
        <v>-10.088835466133489</v>
      </c>
      <c r="BG134" s="26">
        <f t="shared" si="296"/>
        <v>3.6868922549807905</v>
      </c>
      <c r="BH134" s="26">
        <f t="shared" si="296"/>
        <v>-0.10723902077426573</v>
      </c>
      <c r="BI134" s="26">
        <f t="shared" si="297"/>
        <v>3.5796532342065248</v>
      </c>
      <c r="BO134" t="str">
        <f t="shared" si="309"/>
        <v>53 Skilled construction and building trades</v>
      </c>
      <c r="BP134" s="26">
        <f t="shared" si="298"/>
        <v>-0.42147720194000726</v>
      </c>
      <c r="BQ134" s="26">
        <f t="shared" si="298"/>
        <v>-4.4933109153118949</v>
      </c>
      <c r="BR134" s="26">
        <f t="shared" si="298"/>
        <v>2.1250167825344839</v>
      </c>
      <c r="BS134" s="26">
        <f t="shared" si="298"/>
        <v>-0.72340372595237312</v>
      </c>
      <c r="BT134" s="26">
        <f t="shared" si="299"/>
        <v>1.4016130565821108</v>
      </c>
      <c r="BZ134" t="str">
        <f t="shared" si="310"/>
        <v>53 Skilled construction and building trades</v>
      </c>
      <c r="CA134" s="67">
        <f t="shared" si="300"/>
        <v>4.1148157640916665</v>
      </c>
      <c r="CB134" s="67">
        <f t="shared" si="300"/>
        <v>-6.0767991227474631</v>
      </c>
      <c r="CC134" s="67">
        <f t="shared" si="300"/>
        <v>1.3068955304359413</v>
      </c>
      <c r="CD134" s="67">
        <f t="shared" si="300"/>
        <v>0.94451043521154432</v>
      </c>
      <c r="CE134" s="67">
        <f t="shared" si="301"/>
        <v>2.2514059656474856</v>
      </c>
      <c r="CK134" t="str">
        <f t="shared" si="311"/>
        <v>53 Skilled construction and building trades</v>
      </c>
      <c r="CL134" s="67">
        <f t="shared" si="302"/>
        <v>0.58669409882045453</v>
      </c>
      <c r="CM134" s="67">
        <f t="shared" si="302"/>
        <v>0.81844061266517887</v>
      </c>
      <c r="CN134" s="67">
        <f t="shared" si="302"/>
        <v>-2.4917008567309598</v>
      </c>
      <c r="CO134" s="67">
        <f t="shared" si="302"/>
        <v>-2.890090270294094</v>
      </c>
      <c r="CP134" s="67">
        <f t="shared" si="303"/>
        <v>-5.3817911270250534</v>
      </c>
    </row>
    <row r="135" spans="1:94" x14ac:dyDescent="0.2">
      <c r="A135" t="str">
        <f t="shared" si="285"/>
        <v>54 Textiles, printing and other skilled trades</v>
      </c>
      <c r="B135" s="26">
        <f t="shared" si="286"/>
        <v>3.8490580119730583E-2</v>
      </c>
      <c r="C135" s="26">
        <f t="shared" si="286"/>
        <v>-3.2861333958602357E-2</v>
      </c>
      <c r="D135" s="26">
        <f t="shared" si="286"/>
        <v>0.11072744492800063</v>
      </c>
      <c r="E135" s="26">
        <f t="shared" si="286"/>
        <v>0.21079265607023207</v>
      </c>
      <c r="F135" s="26">
        <f t="shared" si="287"/>
        <v>0.32152010099823269</v>
      </c>
      <c r="L135" t="str">
        <f t="shared" si="304"/>
        <v>54 Textiles, printing and other skilled trades</v>
      </c>
      <c r="M135" s="26">
        <f t="shared" si="288"/>
        <v>0.64284520388698918</v>
      </c>
      <c r="N135" s="26">
        <f t="shared" si="288"/>
        <v>1.8111370819963835E-2</v>
      </c>
      <c r="O135" s="26">
        <f t="shared" si="288"/>
        <v>1.0526192843939097</v>
      </c>
      <c r="P135" s="26">
        <f t="shared" si="288"/>
        <v>2.0391486920282964</v>
      </c>
      <c r="Q135" s="26">
        <f t="shared" si="289"/>
        <v>3.0917679764222061</v>
      </c>
      <c r="W135" t="str">
        <f t="shared" si="305"/>
        <v>54 Textiles, printing and other skilled trades</v>
      </c>
      <c r="X135" s="26">
        <f t="shared" si="290"/>
        <v>-0.10066906223211802</v>
      </c>
      <c r="Y135" s="26">
        <f t="shared" si="290"/>
        <v>6.7237453517071444E-2</v>
      </c>
      <c r="Z135" s="26">
        <f t="shared" si="290"/>
        <v>1.2852266908165433</v>
      </c>
      <c r="AA135" s="26">
        <f t="shared" si="290"/>
        <v>0.92638862834883717</v>
      </c>
      <c r="AB135" s="26">
        <f t="shared" si="291"/>
        <v>2.2116153191653805</v>
      </c>
      <c r="AH135" t="str">
        <f t="shared" si="306"/>
        <v>54 Textiles, printing and other skilled trades</v>
      </c>
      <c r="AI135" s="26">
        <f t="shared" si="292"/>
        <v>-0.25817714550597204</v>
      </c>
      <c r="AJ135" s="26">
        <f t="shared" si="292"/>
        <v>0.35792504968422767</v>
      </c>
      <c r="AK135" s="26">
        <f t="shared" si="292"/>
        <v>0.40769744479221481</v>
      </c>
      <c r="AL135" s="26">
        <f t="shared" si="292"/>
        <v>0.76752651876187805</v>
      </c>
      <c r="AM135" s="26">
        <f t="shared" si="293"/>
        <v>1.1752239635540929</v>
      </c>
      <c r="AS135" t="str">
        <f t="shared" si="307"/>
        <v>54 Textiles, printing and other skilled trades</v>
      </c>
      <c r="AT135" s="26">
        <f t="shared" si="294"/>
        <v>-0.19688437892206556</v>
      </c>
      <c r="AU135" s="26">
        <f t="shared" si="294"/>
        <v>0.18807488967906894</v>
      </c>
      <c r="AV135" s="26">
        <f t="shared" si="294"/>
        <v>0.55203443450433065</v>
      </c>
      <c r="AW135" s="26">
        <f t="shared" si="294"/>
        <v>-6.7849766756729935E-2</v>
      </c>
      <c r="AX135" s="26">
        <f t="shared" si="295"/>
        <v>0.48418466774760072</v>
      </c>
      <c r="BD135" t="str">
        <f t="shared" si="308"/>
        <v>54 Textiles, printing and other skilled trades</v>
      </c>
      <c r="BE135" s="26">
        <f t="shared" si="296"/>
        <v>-0.46806419868667426</v>
      </c>
      <c r="BF135" s="26">
        <f t="shared" si="296"/>
        <v>-1.9340805757747912</v>
      </c>
      <c r="BG135" s="26">
        <f t="shared" si="296"/>
        <v>1.2613429157911309</v>
      </c>
      <c r="BH135" s="26">
        <f t="shared" si="296"/>
        <v>-2.7501777896397073E-3</v>
      </c>
      <c r="BI135" s="26">
        <f t="shared" si="297"/>
        <v>1.2585927380014912</v>
      </c>
      <c r="BO135" t="str">
        <f t="shared" si="309"/>
        <v>54 Textiles, printing and other skilled trades</v>
      </c>
      <c r="BP135" s="26">
        <f t="shared" si="298"/>
        <v>-2.8076648328385883</v>
      </c>
      <c r="BQ135" s="26">
        <f t="shared" si="298"/>
        <v>4.3105230566400365E-3</v>
      </c>
      <c r="BR135" s="26">
        <f t="shared" si="298"/>
        <v>-1.6192498226570233</v>
      </c>
      <c r="BS135" s="26">
        <f t="shared" si="298"/>
        <v>-1.9284439412818557</v>
      </c>
      <c r="BT135" s="26">
        <f t="shared" si="299"/>
        <v>-3.547693763938879</v>
      </c>
      <c r="BZ135" t="str">
        <f t="shared" si="310"/>
        <v>54 Textiles, printing and other skilled trades</v>
      </c>
      <c r="CA135" s="67">
        <f t="shared" si="300"/>
        <v>1.1727633033795346</v>
      </c>
      <c r="CB135" s="67">
        <f t="shared" si="300"/>
        <v>-0.97093034392090516</v>
      </c>
      <c r="CC135" s="67">
        <f t="shared" si="300"/>
        <v>-0.50208769167760714</v>
      </c>
      <c r="CD135" s="67">
        <f t="shared" si="300"/>
        <v>-2.9303353793999101</v>
      </c>
      <c r="CE135" s="67">
        <f t="shared" si="301"/>
        <v>-3.4324230710775172</v>
      </c>
      <c r="CK135" t="str">
        <f t="shared" si="311"/>
        <v>54 Textiles, printing and other skilled trades</v>
      </c>
      <c r="CL135" s="67">
        <f t="shared" si="302"/>
        <v>-0.40809854751188102</v>
      </c>
      <c r="CM135" s="67">
        <f t="shared" si="302"/>
        <v>0.7531496780665532</v>
      </c>
      <c r="CN135" s="67">
        <f t="shared" si="302"/>
        <v>-1.7332080435182751</v>
      </c>
      <c r="CO135" s="67">
        <f t="shared" si="302"/>
        <v>-1.0065726948429718</v>
      </c>
      <c r="CP135" s="67">
        <f t="shared" si="303"/>
        <v>-2.7397807383612469</v>
      </c>
    </row>
    <row r="136" spans="1:94" x14ac:dyDescent="0.2">
      <c r="A136" t="str">
        <f t="shared" si="285"/>
        <v>61 Caring personal service occupations</v>
      </c>
      <c r="B136" s="26">
        <f t="shared" si="286"/>
        <v>2.241879208603112E-2</v>
      </c>
      <c r="C136" s="26">
        <f t="shared" si="286"/>
        <v>-7.0011276422095037E-3</v>
      </c>
      <c r="D136" s="26">
        <f t="shared" si="286"/>
        <v>6.4898724055226537E-2</v>
      </c>
      <c r="E136" s="26">
        <f t="shared" si="286"/>
        <v>0.1492071838117042</v>
      </c>
      <c r="F136" s="26">
        <f t="shared" si="287"/>
        <v>0.21410590786693073</v>
      </c>
      <c r="L136" t="str">
        <f t="shared" si="304"/>
        <v>61 Caring personal service occupations</v>
      </c>
      <c r="M136" s="26">
        <f t="shared" si="288"/>
        <v>1.4452583892306476</v>
      </c>
      <c r="N136" s="26">
        <f t="shared" si="288"/>
        <v>0.17405918741851956</v>
      </c>
      <c r="O136" s="26">
        <f t="shared" si="288"/>
        <v>3.7175918590204446</v>
      </c>
      <c r="P136" s="26">
        <f t="shared" si="288"/>
        <v>8.4876004396982179</v>
      </c>
      <c r="Q136" s="26">
        <f t="shared" si="289"/>
        <v>12.205192298718663</v>
      </c>
      <c r="W136" t="str">
        <f t="shared" si="305"/>
        <v>61 Caring personal service occupations</v>
      </c>
      <c r="X136" s="26">
        <f t="shared" si="290"/>
        <v>-0.81996898643343741</v>
      </c>
      <c r="Y136" s="26">
        <f t="shared" si="290"/>
        <v>1.9447548621892743</v>
      </c>
      <c r="Z136" s="26">
        <f t="shared" si="290"/>
        <v>5.7411991448995252</v>
      </c>
      <c r="AA136" s="26">
        <f t="shared" si="290"/>
        <v>7.140606603817254</v>
      </c>
      <c r="AB136" s="26">
        <f t="shared" si="291"/>
        <v>12.881805748716779</v>
      </c>
      <c r="AH136" t="str">
        <f t="shared" si="306"/>
        <v>61 Caring personal service occupations</v>
      </c>
      <c r="AI136" s="26">
        <f t="shared" si="292"/>
        <v>-3.6977666659476327</v>
      </c>
      <c r="AJ136" s="26">
        <f t="shared" si="292"/>
        <v>1.5182453081027809</v>
      </c>
      <c r="AK136" s="26">
        <f t="shared" si="292"/>
        <v>2.0167044666956073</v>
      </c>
      <c r="AL136" s="26">
        <f t="shared" si="292"/>
        <v>1.4855482670789719</v>
      </c>
      <c r="AM136" s="26">
        <f t="shared" si="293"/>
        <v>3.5022527337745792</v>
      </c>
      <c r="AS136" t="str">
        <f t="shared" si="307"/>
        <v>61 Caring personal service occupations</v>
      </c>
      <c r="AT136" s="26">
        <f t="shared" si="294"/>
        <v>-0.95153824193508107</v>
      </c>
      <c r="AU136" s="26">
        <f t="shared" si="294"/>
        <v>1.4010505226615066</v>
      </c>
      <c r="AV136" s="26">
        <f t="shared" si="294"/>
        <v>1.7193594812145765</v>
      </c>
      <c r="AW136" s="26">
        <f t="shared" si="294"/>
        <v>1.9755860361644135</v>
      </c>
      <c r="AX136" s="26">
        <f t="shared" si="295"/>
        <v>3.69494551737899</v>
      </c>
      <c r="BD136" t="str">
        <f t="shared" si="308"/>
        <v>61 Caring personal service occupations</v>
      </c>
      <c r="BE136" s="26">
        <f t="shared" si="296"/>
        <v>10.951263497238415</v>
      </c>
      <c r="BF136" s="26">
        <f t="shared" si="296"/>
        <v>-4.9157166306666795</v>
      </c>
      <c r="BG136" s="26">
        <f t="shared" si="296"/>
        <v>12.734568486753773</v>
      </c>
      <c r="BH136" s="26">
        <f t="shared" si="296"/>
        <v>18.736072055908977</v>
      </c>
      <c r="BI136" s="26">
        <f t="shared" si="297"/>
        <v>31.47064054266275</v>
      </c>
      <c r="BO136" t="str">
        <f t="shared" si="309"/>
        <v>61 Caring personal service occupations</v>
      </c>
      <c r="BP136" s="26">
        <f t="shared" si="298"/>
        <v>-3.8289759199959619</v>
      </c>
      <c r="BQ136" s="26">
        <f t="shared" si="298"/>
        <v>-9.4915978890945638</v>
      </c>
      <c r="BR136" s="26">
        <f t="shared" si="298"/>
        <v>-2.0694791964605912</v>
      </c>
      <c r="BS136" s="26">
        <f t="shared" si="298"/>
        <v>-12.100570848868422</v>
      </c>
      <c r="BT136" s="26">
        <f t="shared" si="299"/>
        <v>-14.170050045329013</v>
      </c>
      <c r="BZ136" t="str">
        <f t="shared" si="310"/>
        <v>61 Caring personal service occupations</v>
      </c>
      <c r="CA136" s="67">
        <f t="shared" si="300"/>
        <v>-5.260624084742906</v>
      </c>
      <c r="CB136" s="67">
        <f t="shared" si="300"/>
        <v>-0.99432927273459981</v>
      </c>
      <c r="CC136" s="67">
        <f t="shared" si="300"/>
        <v>-2.406844091466632</v>
      </c>
      <c r="CD136" s="67">
        <f t="shared" si="300"/>
        <v>-9.4393147107203035E-2</v>
      </c>
      <c r="CE136" s="67">
        <f t="shared" si="301"/>
        <v>-2.5012372385738351</v>
      </c>
      <c r="CK136" t="str">
        <f t="shared" si="311"/>
        <v>61 Caring personal service occupations</v>
      </c>
      <c r="CL136" s="67">
        <f t="shared" si="302"/>
        <v>-0.38616219020838538</v>
      </c>
      <c r="CM136" s="67">
        <f t="shared" si="302"/>
        <v>0.29676643957341864</v>
      </c>
      <c r="CN136" s="67">
        <f t="shared" si="302"/>
        <v>8.8929860369335367E-2</v>
      </c>
      <c r="CO136" s="67">
        <f t="shared" si="302"/>
        <v>0.23401915138811091</v>
      </c>
      <c r="CP136" s="67">
        <f t="shared" si="303"/>
        <v>0.32294901175744628</v>
      </c>
    </row>
    <row r="137" spans="1:94" x14ac:dyDescent="0.2">
      <c r="A137" t="str">
        <f t="shared" si="285"/>
        <v>62 Leisure, travel and related personal service occupations</v>
      </c>
      <c r="B137" s="26">
        <f t="shared" si="286"/>
        <v>7.3369766143960347E-2</v>
      </c>
      <c r="C137" s="26">
        <f t="shared" si="286"/>
        <v>4.7114902297750449E-3</v>
      </c>
      <c r="D137" s="26">
        <f t="shared" si="286"/>
        <v>6.6763633448757853E-2</v>
      </c>
      <c r="E137" s="26">
        <f t="shared" si="286"/>
        <v>0.12797601269016964</v>
      </c>
      <c r="F137" s="26">
        <f t="shared" si="287"/>
        <v>0.1947396461389275</v>
      </c>
      <c r="L137" t="str">
        <f t="shared" si="304"/>
        <v>62 Leisure, travel and related personal service occupations</v>
      </c>
      <c r="M137" s="26">
        <f t="shared" si="288"/>
        <v>0.32653282852347565</v>
      </c>
      <c r="N137" s="26">
        <f t="shared" si="288"/>
        <v>-0.17464481993280012</v>
      </c>
      <c r="O137" s="26">
        <f t="shared" si="288"/>
        <v>0.73926417291390645</v>
      </c>
      <c r="P137" s="26">
        <f t="shared" si="288"/>
        <v>1.7625630687121081</v>
      </c>
      <c r="Q137" s="26">
        <f t="shared" si="289"/>
        <v>2.5018272416260148</v>
      </c>
      <c r="W137" t="str">
        <f t="shared" si="305"/>
        <v>62 Leisure, travel and related personal service occupations</v>
      </c>
      <c r="X137" s="26">
        <f t="shared" si="290"/>
        <v>0.86616127455155301</v>
      </c>
      <c r="Y137" s="26">
        <f t="shared" si="290"/>
        <v>-0.24638917011951289</v>
      </c>
      <c r="Z137" s="26">
        <f t="shared" si="290"/>
        <v>2.1785206713722083</v>
      </c>
      <c r="AA137" s="26">
        <f t="shared" si="290"/>
        <v>3.1596342802538882</v>
      </c>
      <c r="AB137" s="26">
        <f t="shared" si="291"/>
        <v>5.3381549516260964</v>
      </c>
      <c r="AH137" t="str">
        <f t="shared" si="306"/>
        <v>62 Leisure, travel and related personal service occupations</v>
      </c>
      <c r="AI137" s="26">
        <f t="shared" si="292"/>
        <v>0.42194158258600911</v>
      </c>
      <c r="AJ137" s="26">
        <f t="shared" si="292"/>
        <v>-7.0206837398187005E-2</v>
      </c>
      <c r="AK137" s="26">
        <f t="shared" si="292"/>
        <v>1.055506824380414</v>
      </c>
      <c r="AL137" s="26">
        <f t="shared" si="292"/>
        <v>1.9591438932861331</v>
      </c>
      <c r="AM137" s="26">
        <f t="shared" si="293"/>
        <v>3.0146507176665471</v>
      </c>
      <c r="AS137" t="str">
        <f t="shared" si="307"/>
        <v>62 Leisure, travel and related personal service occupations</v>
      </c>
      <c r="AT137" s="26">
        <f t="shared" si="294"/>
        <v>0.88385770687976484</v>
      </c>
      <c r="AU137" s="26">
        <f t="shared" si="294"/>
        <v>-8.6655926180501552E-2</v>
      </c>
      <c r="AV137" s="26">
        <f t="shared" si="294"/>
        <v>1.3926139213936608</v>
      </c>
      <c r="AW137" s="26">
        <f t="shared" si="294"/>
        <v>2.5831577700098372</v>
      </c>
      <c r="AX137" s="26">
        <f t="shared" si="295"/>
        <v>3.975771691403498</v>
      </c>
      <c r="BD137" t="str">
        <f t="shared" si="308"/>
        <v>62 Leisure, travel and related personal service occupations</v>
      </c>
      <c r="BE137" s="26">
        <f t="shared" si="296"/>
        <v>1.7380387080221347</v>
      </c>
      <c r="BF137" s="26">
        <f t="shared" si="296"/>
        <v>-3.1873643987090006</v>
      </c>
      <c r="BG137" s="26">
        <f t="shared" si="296"/>
        <v>0.76672754760800998</v>
      </c>
      <c r="BH137" s="26">
        <f t="shared" si="296"/>
        <v>0.19244680938538217</v>
      </c>
      <c r="BI137" s="26">
        <f t="shared" si="297"/>
        <v>0.95917435699339215</v>
      </c>
      <c r="BO137" t="str">
        <f t="shared" si="309"/>
        <v>62 Leisure, travel and related personal service occupations</v>
      </c>
      <c r="BP137" s="26">
        <f t="shared" si="298"/>
        <v>0.34495638109376259</v>
      </c>
      <c r="BQ137" s="26">
        <f t="shared" si="298"/>
        <v>-3.2940704805575454</v>
      </c>
      <c r="BR137" s="26">
        <f t="shared" si="298"/>
        <v>-0.9462309121955137</v>
      </c>
      <c r="BS137" s="26">
        <f t="shared" si="298"/>
        <v>-2.8624871306200603</v>
      </c>
      <c r="BT137" s="26">
        <f t="shared" si="299"/>
        <v>-3.808718042815574</v>
      </c>
      <c r="BZ137" t="str">
        <f t="shared" si="310"/>
        <v>62 Leisure, travel and related personal service occupations</v>
      </c>
      <c r="CA137" s="67">
        <f t="shared" si="300"/>
        <v>3.0385821865977185</v>
      </c>
      <c r="CB137" s="67">
        <f t="shared" si="300"/>
        <v>-1.1921531063940893</v>
      </c>
      <c r="CC137" s="67">
        <f t="shared" si="300"/>
        <v>0.84258021665821303</v>
      </c>
      <c r="CD137" s="67">
        <f t="shared" si="300"/>
        <v>9.140677040816847E-2</v>
      </c>
      <c r="CE137" s="67">
        <f t="shared" si="301"/>
        <v>0.9339869870663815</v>
      </c>
      <c r="CK137" t="str">
        <f t="shared" si="311"/>
        <v>62 Leisure, travel and related personal service occupations</v>
      </c>
      <c r="CL137" s="67">
        <f t="shared" si="302"/>
        <v>-0.39401861527972626</v>
      </c>
      <c r="CM137" s="67">
        <f t="shared" si="302"/>
        <v>0.27750518113449951</v>
      </c>
      <c r="CN137" s="67">
        <f t="shared" si="302"/>
        <v>-0.69055566648069</v>
      </c>
      <c r="CO137" s="67">
        <f t="shared" si="302"/>
        <v>-0.56162170937635136</v>
      </c>
      <c r="CP137" s="67">
        <f t="shared" si="303"/>
        <v>-1.2521773758570414</v>
      </c>
    </row>
    <row r="138" spans="1:94" x14ac:dyDescent="0.2">
      <c r="A138" t="str">
        <f t="shared" si="285"/>
        <v>63 Community and civil enforcement occupations</v>
      </c>
      <c r="B138" s="26">
        <f t="shared" si="286"/>
        <v>-1.2854001371347384E-4</v>
      </c>
      <c r="C138" s="26">
        <f t="shared" si="286"/>
        <v>5.3142582459252043E-4</v>
      </c>
      <c r="D138" s="26">
        <f t="shared" si="286"/>
        <v>1.6004995453432645E-3</v>
      </c>
      <c r="E138" s="26">
        <f t="shared" si="286"/>
        <v>4.1908815171152018E-3</v>
      </c>
      <c r="F138" s="26">
        <f t="shared" si="287"/>
        <v>5.7913810624584663E-3</v>
      </c>
      <c r="L138" t="str">
        <f t="shared" si="304"/>
        <v>63 Community and civil enforcement occupations</v>
      </c>
      <c r="M138" s="26">
        <f t="shared" si="288"/>
        <v>-2.1072066832807795E-3</v>
      </c>
      <c r="N138" s="26">
        <f t="shared" si="288"/>
        <v>2.5228953665534348E-2</v>
      </c>
      <c r="O138" s="26">
        <f t="shared" si="288"/>
        <v>5.3330495057960225E-3</v>
      </c>
      <c r="P138" s="26">
        <f t="shared" si="288"/>
        <v>6.8088762754019524E-2</v>
      </c>
      <c r="Q138" s="26">
        <f t="shared" si="289"/>
        <v>7.3421812259815547E-2</v>
      </c>
      <c r="W138" t="str">
        <f t="shared" si="305"/>
        <v>63 Community and civil enforcement occupations</v>
      </c>
      <c r="X138" s="26">
        <f t="shared" si="290"/>
        <v>-1.3605248560070504E-2</v>
      </c>
      <c r="Y138" s="26">
        <f t="shared" si="290"/>
        <v>5.3150402727860424E-2</v>
      </c>
      <c r="Z138" s="26">
        <f t="shared" si="290"/>
        <v>4.0401549272457926E-2</v>
      </c>
      <c r="AA138" s="26">
        <f t="shared" si="290"/>
        <v>6.9950000527537193E-2</v>
      </c>
      <c r="AB138" s="26">
        <f t="shared" si="291"/>
        <v>0.11035154979999512</v>
      </c>
      <c r="AH138" t="str">
        <f t="shared" si="306"/>
        <v>63 Community and civil enforcement occupations</v>
      </c>
      <c r="AI138" s="26">
        <f t="shared" si="292"/>
        <v>-1.3441925180340528E-2</v>
      </c>
      <c r="AJ138" s="26">
        <f t="shared" si="292"/>
        <v>3.3421164400079389E-2</v>
      </c>
      <c r="AK138" s="26">
        <f t="shared" si="292"/>
        <v>-1.1626566281654122E-2</v>
      </c>
      <c r="AL138" s="26">
        <f t="shared" si="292"/>
        <v>1.9289103157074827E-2</v>
      </c>
      <c r="AM138" s="26">
        <f t="shared" si="293"/>
        <v>7.6625368754207057E-3</v>
      </c>
      <c r="AS138" t="str">
        <f t="shared" si="307"/>
        <v>63 Community and civil enforcement occupations</v>
      </c>
      <c r="AT138" s="26">
        <f t="shared" si="294"/>
        <v>-1.9308998358935514E-2</v>
      </c>
      <c r="AU138" s="26">
        <f t="shared" si="294"/>
        <v>3.0021947611353836E-2</v>
      </c>
      <c r="AV138" s="26">
        <f t="shared" si="294"/>
        <v>-2.1646574941425578E-2</v>
      </c>
      <c r="AW138" s="26">
        <f t="shared" si="294"/>
        <v>2.5159953536602886E-3</v>
      </c>
      <c r="AX138" s="26">
        <f t="shared" si="295"/>
        <v>-1.913057958776529E-2</v>
      </c>
      <c r="BD138" t="str">
        <f t="shared" si="308"/>
        <v>63 Community and civil enforcement occupations</v>
      </c>
      <c r="BE138" s="26">
        <f t="shared" si="296"/>
        <v>-0.15618258789182432</v>
      </c>
      <c r="BF138" s="26">
        <f t="shared" si="296"/>
        <v>0.14435260699355518</v>
      </c>
      <c r="BG138" s="26">
        <f t="shared" si="296"/>
        <v>-0.17127151812872154</v>
      </c>
      <c r="BH138" s="26">
        <f t="shared" si="296"/>
        <v>3.4704670529484005E-3</v>
      </c>
      <c r="BI138" s="26">
        <f t="shared" si="297"/>
        <v>-0.16780105107577314</v>
      </c>
      <c r="BO138" t="str">
        <f t="shared" si="309"/>
        <v>63 Community and civil enforcement occupations</v>
      </c>
      <c r="BP138" s="26">
        <f t="shared" si="298"/>
        <v>-0.15980382500447499</v>
      </c>
      <c r="BQ138" s="26">
        <f t="shared" si="298"/>
        <v>0.19543083856741428</v>
      </c>
      <c r="BR138" s="26">
        <f t="shared" si="298"/>
        <v>-0.22556382837664007</v>
      </c>
      <c r="BS138" s="26">
        <f t="shared" si="298"/>
        <v>-5.971963964292798E-2</v>
      </c>
      <c r="BT138" s="26">
        <f t="shared" si="299"/>
        <v>-0.28528346801956805</v>
      </c>
      <c r="BZ138" t="str">
        <f t="shared" si="310"/>
        <v>63 Community and civil enforcement occupations</v>
      </c>
      <c r="CA138" s="67">
        <f t="shared" si="300"/>
        <v>-7.1436286606135768E-3</v>
      </c>
      <c r="CB138" s="67">
        <f t="shared" si="300"/>
        <v>0.11824887289772285</v>
      </c>
      <c r="CC138" s="67">
        <f t="shared" si="300"/>
        <v>-0.12610418090109604</v>
      </c>
      <c r="CD138" s="67">
        <f t="shared" si="300"/>
        <v>1.1971391532345832E-2</v>
      </c>
      <c r="CE138" s="67">
        <f t="shared" si="301"/>
        <v>-0.11413278936875021</v>
      </c>
      <c r="CK138" t="str">
        <f t="shared" si="311"/>
        <v>63 Community and civil enforcement occupations</v>
      </c>
      <c r="CL138" s="67">
        <f t="shared" si="302"/>
        <v>-3.3545204878085072E-2</v>
      </c>
      <c r="CM138" s="67">
        <f t="shared" si="302"/>
        <v>8.9215706321918692E-2</v>
      </c>
      <c r="CN138" s="67">
        <f t="shared" si="302"/>
        <v>-9.4607987741939542E-2</v>
      </c>
      <c r="CO138" s="67">
        <f t="shared" si="302"/>
        <v>-1.196360179836517E-2</v>
      </c>
      <c r="CP138" s="67">
        <f t="shared" si="303"/>
        <v>-0.10657158954030471</v>
      </c>
    </row>
    <row r="139" spans="1:94" x14ac:dyDescent="0.2">
      <c r="A139" t="str">
        <f t="shared" si="285"/>
        <v>71 Sales occupations</v>
      </c>
      <c r="B139" s="26">
        <f t="shared" si="286"/>
        <v>8.1730724949968359E-2</v>
      </c>
      <c r="C139" s="26">
        <f t="shared" si="286"/>
        <v>-7.704627309727341E-2</v>
      </c>
      <c r="D139" s="26">
        <f t="shared" si="286"/>
        <v>0.14898122580394013</v>
      </c>
      <c r="E139" s="26">
        <f t="shared" si="286"/>
        <v>0.27553180530858079</v>
      </c>
      <c r="F139" s="26">
        <f t="shared" si="287"/>
        <v>0.42451303111252092</v>
      </c>
      <c r="L139" t="str">
        <f t="shared" si="304"/>
        <v>71 Sales occupations</v>
      </c>
      <c r="M139" s="26">
        <f t="shared" si="288"/>
        <v>0.85735897714436948</v>
      </c>
      <c r="N139" s="26">
        <f t="shared" si="288"/>
        <v>-8.2632249790482781E-2</v>
      </c>
      <c r="O139" s="26">
        <f t="shared" si="288"/>
        <v>2.4185583364419418</v>
      </c>
      <c r="P139" s="26">
        <f t="shared" si="288"/>
        <v>6.5822295210440327</v>
      </c>
      <c r="Q139" s="26">
        <f t="shared" si="289"/>
        <v>9.0007878574859745</v>
      </c>
      <c r="W139" t="str">
        <f t="shared" si="305"/>
        <v>71 Sales occupations</v>
      </c>
      <c r="X139" s="26">
        <f t="shared" si="290"/>
        <v>-1.2493568976370817</v>
      </c>
      <c r="Y139" s="26">
        <f t="shared" si="290"/>
        <v>1.9419710958577809</v>
      </c>
      <c r="Z139" s="26">
        <f t="shared" si="290"/>
        <v>3.404329126803308</v>
      </c>
      <c r="AA139" s="26">
        <f t="shared" si="290"/>
        <v>7.2817046716084235</v>
      </c>
      <c r="AB139" s="26">
        <f t="shared" si="291"/>
        <v>10.686033798411732</v>
      </c>
      <c r="AH139" t="str">
        <f t="shared" si="306"/>
        <v>71 Sales occupations</v>
      </c>
      <c r="AI139" s="26">
        <f t="shared" si="292"/>
        <v>-0.63737446518558194</v>
      </c>
      <c r="AJ139" s="26">
        <f t="shared" si="292"/>
        <v>1.0041813783416593</v>
      </c>
      <c r="AK139" s="26">
        <f t="shared" si="292"/>
        <v>0.78940042606416583</v>
      </c>
      <c r="AL139" s="26">
        <f t="shared" si="292"/>
        <v>2.5412640960083159</v>
      </c>
      <c r="AM139" s="26">
        <f t="shared" si="293"/>
        <v>3.3306645220724818</v>
      </c>
      <c r="AS139" t="str">
        <f t="shared" si="307"/>
        <v>71 Sales occupations</v>
      </c>
      <c r="AT139" s="26">
        <f t="shared" si="294"/>
        <v>-0.86381413742907487</v>
      </c>
      <c r="AU139" s="26">
        <f t="shared" si="294"/>
        <v>0.43987883296868269</v>
      </c>
      <c r="AV139" s="26">
        <f t="shared" si="294"/>
        <v>0.3550699316074919</v>
      </c>
      <c r="AW139" s="26">
        <f t="shared" si="294"/>
        <v>1.2159255825556761</v>
      </c>
      <c r="AX139" s="26">
        <f t="shared" si="295"/>
        <v>1.570995514163168</v>
      </c>
      <c r="BD139" t="str">
        <f t="shared" si="308"/>
        <v>71 Sales occupations</v>
      </c>
      <c r="BE139" s="26">
        <f t="shared" si="296"/>
        <v>-0.76958378231195468</v>
      </c>
      <c r="BF139" s="26">
        <f t="shared" si="296"/>
        <v>-0.34308695773596298</v>
      </c>
      <c r="BG139" s="26">
        <f t="shared" si="296"/>
        <v>-0.61269837509738068</v>
      </c>
      <c r="BH139" s="26">
        <f t="shared" si="296"/>
        <v>4.457415030713328</v>
      </c>
      <c r="BI139" s="26">
        <f t="shared" si="297"/>
        <v>3.8447166556159473</v>
      </c>
      <c r="BO139" t="str">
        <f t="shared" si="309"/>
        <v>71 Sales occupations</v>
      </c>
      <c r="BP139" s="26">
        <f t="shared" si="298"/>
        <v>-8.3725673201189608</v>
      </c>
      <c r="BQ139" s="26">
        <f t="shared" si="298"/>
        <v>-3.2823241860574868</v>
      </c>
      <c r="BR139" s="26">
        <f t="shared" si="298"/>
        <v>-7.5493651414287086</v>
      </c>
      <c r="BS139" s="26">
        <f t="shared" si="298"/>
        <v>-10.34131063863385</v>
      </c>
      <c r="BT139" s="26">
        <f t="shared" si="299"/>
        <v>-17.890675780062558</v>
      </c>
      <c r="BZ139" t="str">
        <f t="shared" si="310"/>
        <v>71 Sales occupations</v>
      </c>
      <c r="CA139" s="67">
        <f t="shared" si="300"/>
        <v>3.9116257575976405</v>
      </c>
      <c r="CB139" s="67">
        <f t="shared" si="300"/>
        <v>-1.2251462783345346</v>
      </c>
      <c r="CC139" s="67">
        <f t="shared" si="300"/>
        <v>-6.7384808783756931</v>
      </c>
      <c r="CD139" s="67">
        <f t="shared" si="300"/>
        <v>-20.002343209191874</v>
      </c>
      <c r="CE139" s="67">
        <f t="shared" si="301"/>
        <v>-26.740824087567567</v>
      </c>
      <c r="CK139" t="str">
        <f t="shared" si="311"/>
        <v>71 Sales occupations</v>
      </c>
      <c r="CL139" s="67">
        <f t="shared" si="302"/>
        <v>-2.6218414015982532</v>
      </c>
      <c r="CM139" s="67">
        <f t="shared" si="302"/>
        <v>1.6650583812041706</v>
      </c>
      <c r="CN139" s="67">
        <f t="shared" si="302"/>
        <v>-4.3897956849499602</v>
      </c>
      <c r="CO139" s="67">
        <f t="shared" si="302"/>
        <v>-2.0517635454667351</v>
      </c>
      <c r="CP139" s="67">
        <f t="shared" si="303"/>
        <v>-6.4415592304166953</v>
      </c>
    </row>
    <row r="140" spans="1:94" x14ac:dyDescent="0.2">
      <c r="A140" t="str">
        <f t="shared" si="285"/>
        <v>72 Customer service occupations</v>
      </c>
      <c r="B140" s="26">
        <f t="shared" si="286"/>
        <v>3.1982160077784982E-2</v>
      </c>
      <c r="C140" s="26">
        <f t="shared" si="286"/>
        <v>1.2348250929099386E-2</v>
      </c>
      <c r="D140" s="26">
        <f t="shared" si="286"/>
        <v>0.15073029349384259</v>
      </c>
      <c r="E140" s="26">
        <f t="shared" si="286"/>
        <v>0.24424005435590512</v>
      </c>
      <c r="F140" s="26">
        <f t="shared" si="287"/>
        <v>0.39497034784974772</v>
      </c>
      <c r="L140" t="str">
        <f t="shared" si="304"/>
        <v>72 Customer service occupations</v>
      </c>
      <c r="M140" s="26">
        <f t="shared" si="288"/>
        <v>0.41904668317078775</v>
      </c>
      <c r="N140" s="26">
        <f t="shared" si="288"/>
        <v>0.13075279591014022</v>
      </c>
      <c r="O140" s="26">
        <f t="shared" si="288"/>
        <v>1.5085710427089314</v>
      </c>
      <c r="P140" s="26">
        <f t="shared" si="288"/>
        <v>2.4810472032695539</v>
      </c>
      <c r="Q140" s="26">
        <f t="shared" si="289"/>
        <v>3.9896182459784852</v>
      </c>
      <c r="W140" t="str">
        <f t="shared" si="305"/>
        <v>72 Customer service occupations</v>
      </c>
      <c r="X140" s="26">
        <f t="shared" si="290"/>
        <v>0.45592856730036679</v>
      </c>
      <c r="Y140" s="26">
        <f t="shared" si="290"/>
        <v>0.99752684084405541</v>
      </c>
      <c r="Z140" s="26">
        <f t="shared" si="290"/>
        <v>3.8333208746756586</v>
      </c>
      <c r="AA140" s="26">
        <f t="shared" si="290"/>
        <v>4.2288655498554597</v>
      </c>
      <c r="AB140" s="26">
        <f t="shared" si="291"/>
        <v>8.0621864245311183</v>
      </c>
      <c r="AH140" t="str">
        <f t="shared" si="306"/>
        <v>72 Customer service occupations</v>
      </c>
      <c r="AI140" s="26">
        <f t="shared" si="292"/>
        <v>0.15456225318328931</v>
      </c>
      <c r="AJ140" s="26">
        <f t="shared" si="292"/>
        <v>0.31285082520280927</v>
      </c>
      <c r="AK140" s="26">
        <f t="shared" si="292"/>
        <v>1.1962764292282224</v>
      </c>
      <c r="AL140" s="26">
        <f t="shared" si="292"/>
        <v>1.0973630966817383</v>
      </c>
      <c r="AM140" s="26">
        <f t="shared" si="293"/>
        <v>2.2936395259099607</v>
      </c>
      <c r="AS140" t="str">
        <f t="shared" si="307"/>
        <v>72 Customer service occupations</v>
      </c>
      <c r="AT140" s="26">
        <f t="shared" si="294"/>
        <v>-4.4653663209570649E-2</v>
      </c>
      <c r="AU140" s="26">
        <f t="shared" si="294"/>
        <v>0.22247242685618707</v>
      </c>
      <c r="AV140" s="26">
        <f t="shared" si="294"/>
        <v>1.1197957456898764</v>
      </c>
      <c r="AW140" s="26">
        <f t="shared" si="294"/>
        <v>0.72236305971689418</v>
      </c>
      <c r="AX140" s="26">
        <f t="shared" si="295"/>
        <v>1.8421588054067706</v>
      </c>
      <c r="BD140" t="str">
        <f t="shared" si="308"/>
        <v>72 Customer service occupations</v>
      </c>
      <c r="BE140" s="26">
        <f t="shared" si="296"/>
        <v>1.1433712083998451</v>
      </c>
      <c r="BF140" s="26">
        <f t="shared" si="296"/>
        <v>0.76725613125746861</v>
      </c>
      <c r="BG140" s="26">
        <f t="shared" si="296"/>
        <v>3.3818356018502147</v>
      </c>
      <c r="BH140" s="26">
        <f t="shared" si="296"/>
        <v>2.7014244972548198</v>
      </c>
      <c r="BI140" s="26">
        <f t="shared" si="297"/>
        <v>6.0832600991050345</v>
      </c>
      <c r="BO140" t="str">
        <f t="shared" si="309"/>
        <v>72 Customer service occupations</v>
      </c>
      <c r="BP140" s="26">
        <f t="shared" si="298"/>
        <v>0.99834533197795317</v>
      </c>
      <c r="BQ140" s="26">
        <f t="shared" si="298"/>
        <v>-0.62779143181573183</v>
      </c>
      <c r="BR140" s="26">
        <f t="shared" si="298"/>
        <v>2.1515953837344455</v>
      </c>
      <c r="BS140" s="26">
        <f t="shared" si="298"/>
        <v>-1.4568502988641505</v>
      </c>
      <c r="BT140" s="26">
        <f t="shared" si="299"/>
        <v>0.69474508487029496</v>
      </c>
      <c r="BZ140" t="str">
        <f t="shared" si="310"/>
        <v>72 Customer service occupations</v>
      </c>
      <c r="CA140" s="67">
        <f t="shared" si="300"/>
        <v>0.81942316792056591</v>
      </c>
      <c r="CB140" s="67">
        <f t="shared" si="300"/>
        <v>4.4468079357553592E-3</v>
      </c>
      <c r="CC140" s="67">
        <f t="shared" si="300"/>
        <v>0.14601099602631518</v>
      </c>
      <c r="CD140" s="67">
        <f t="shared" si="300"/>
        <v>-1.0576339753403392</v>
      </c>
      <c r="CE140" s="67">
        <f t="shared" si="301"/>
        <v>-0.91162297931402403</v>
      </c>
      <c r="CK140" t="str">
        <f t="shared" si="311"/>
        <v>72 Customer service occupations</v>
      </c>
      <c r="CL140" s="67">
        <f t="shared" si="302"/>
        <v>0.15142028009092634</v>
      </c>
      <c r="CM140" s="67">
        <f t="shared" si="302"/>
        <v>0.26291585261919637</v>
      </c>
      <c r="CN140" s="67">
        <f t="shared" si="302"/>
        <v>0.59684300174559857</v>
      </c>
      <c r="CO140" s="67">
        <f t="shared" si="302"/>
        <v>0.18754502161832676</v>
      </c>
      <c r="CP140" s="67">
        <f t="shared" si="303"/>
        <v>0.78438802336392532</v>
      </c>
    </row>
    <row r="141" spans="1:94" x14ac:dyDescent="0.2">
      <c r="A141" t="str">
        <f t="shared" si="285"/>
        <v>81 Process, plant and machine operatives</v>
      </c>
      <c r="B141" s="26">
        <f t="shared" si="286"/>
        <v>4.3486045600846207E-2</v>
      </c>
      <c r="C141" s="26">
        <f t="shared" si="286"/>
        <v>-3.8418354177503319E-2</v>
      </c>
      <c r="D141" s="26">
        <f t="shared" si="286"/>
        <v>0.11682828069454264</v>
      </c>
      <c r="E141" s="26">
        <f t="shared" si="286"/>
        <v>0.31119147898705396</v>
      </c>
      <c r="F141" s="26">
        <f t="shared" si="287"/>
        <v>0.42801975968159661</v>
      </c>
      <c r="L141" t="str">
        <f t="shared" si="304"/>
        <v>81 Process, plant and machine operatives</v>
      </c>
      <c r="M141" s="26">
        <f t="shared" si="288"/>
        <v>0.21104257304799401</v>
      </c>
      <c r="N141" s="26">
        <f t="shared" si="288"/>
        <v>-0.16268872452106931</v>
      </c>
      <c r="O141" s="26">
        <f t="shared" si="288"/>
        <v>0.89298536143299323</v>
      </c>
      <c r="P141" s="26">
        <f t="shared" si="288"/>
        <v>1.6583584303542385</v>
      </c>
      <c r="Q141" s="26">
        <f t="shared" si="289"/>
        <v>2.5513437917872315</v>
      </c>
      <c r="W141" t="str">
        <f t="shared" si="305"/>
        <v>81 Process, plant and machine operatives</v>
      </c>
      <c r="X141" s="26">
        <f t="shared" si="290"/>
        <v>-0.23658698552716562</v>
      </c>
      <c r="Y141" s="26">
        <f t="shared" si="290"/>
        <v>-0.23630364559713213</v>
      </c>
      <c r="Z141" s="26">
        <f t="shared" si="290"/>
        <v>1.7817308258852442</v>
      </c>
      <c r="AA141" s="26">
        <f t="shared" si="290"/>
        <v>2.9158506957434085</v>
      </c>
      <c r="AB141" s="26">
        <f t="shared" si="291"/>
        <v>4.6975815216286527</v>
      </c>
      <c r="AH141" t="str">
        <f t="shared" si="306"/>
        <v>81 Process, plant and machine operatives</v>
      </c>
      <c r="AI141" s="26">
        <f t="shared" si="292"/>
        <v>-5.2943398072464065E-2</v>
      </c>
      <c r="AJ141" s="26">
        <f t="shared" si="292"/>
        <v>-9.1509084344850722E-2</v>
      </c>
      <c r="AK141" s="26">
        <f t="shared" si="292"/>
        <v>0.75239744094794037</v>
      </c>
      <c r="AL141" s="26">
        <f t="shared" si="292"/>
        <v>1.2672006151059478</v>
      </c>
      <c r="AM141" s="26">
        <f t="shared" si="293"/>
        <v>2.019598056053888</v>
      </c>
      <c r="AS141" t="str">
        <f t="shared" si="307"/>
        <v>81 Process, plant and machine operatives</v>
      </c>
      <c r="AT141" s="26">
        <f t="shared" si="294"/>
        <v>-0.21538559587549022</v>
      </c>
      <c r="AU141" s="26">
        <f t="shared" si="294"/>
        <v>-0.25486585153430896</v>
      </c>
      <c r="AV141" s="26">
        <f t="shared" si="294"/>
        <v>1.3379167102566591</v>
      </c>
      <c r="AW141" s="26">
        <f t="shared" si="294"/>
        <v>1.4687091274768411</v>
      </c>
      <c r="AX141" s="26">
        <f t="shared" si="295"/>
        <v>2.8066258377335003</v>
      </c>
      <c r="BD141" t="str">
        <f t="shared" si="308"/>
        <v>81 Process, plant and machine operatives</v>
      </c>
      <c r="BE141" s="26">
        <f t="shared" si="296"/>
        <v>-0.23616230655639825</v>
      </c>
      <c r="BF141" s="26">
        <f t="shared" si="296"/>
        <v>-2.7971864003733344</v>
      </c>
      <c r="BG141" s="26">
        <f t="shared" si="296"/>
        <v>6.0437043197126101</v>
      </c>
      <c r="BH141" s="26">
        <f t="shared" si="296"/>
        <v>4.4045642307803945</v>
      </c>
      <c r="BI141" s="26">
        <f t="shared" si="297"/>
        <v>10.448268550493005</v>
      </c>
      <c r="BO141" t="str">
        <f t="shared" si="309"/>
        <v>81 Process, plant and machine operatives</v>
      </c>
      <c r="BP141" s="26">
        <f t="shared" si="298"/>
        <v>-2.7760984085265044</v>
      </c>
      <c r="BQ141" s="26">
        <f t="shared" si="298"/>
        <v>-1.7812527742083901</v>
      </c>
      <c r="BR141" s="26">
        <f t="shared" si="298"/>
        <v>3.6826130016536816</v>
      </c>
      <c r="BS141" s="26">
        <f t="shared" si="298"/>
        <v>-1.5227888366512978</v>
      </c>
      <c r="BT141" s="26">
        <f t="shared" si="299"/>
        <v>2.1598241650023837</v>
      </c>
      <c r="BZ141" t="str">
        <f t="shared" si="310"/>
        <v>81 Process, plant and machine operatives</v>
      </c>
      <c r="CA141" s="67">
        <f t="shared" si="300"/>
        <v>1.4092802090522056</v>
      </c>
      <c r="CB141" s="67">
        <f t="shared" si="300"/>
        <v>-3.7752014956791076</v>
      </c>
      <c r="CC141" s="67">
        <f t="shared" si="300"/>
        <v>1.0597933657882432</v>
      </c>
      <c r="CD141" s="67">
        <f t="shared" si="300"/>
        <v>-9.7179763851350671</v>
      </c>
      <c r="CE141" s="67">
        <f t="shared" si="301"/>
        <v>-8.6581830193468239</v>
      </c>
      <c r="CK141" t="str">
        <f t="shared" si="311"/>
        <v>81 Process, plant and machine operatives</v>
      </c>
      <c r="CL141" s="67">
        <f t="shared" si="302"/>
        <v>-1.0063997013287294</v>
      </c>
      <c r="CM141" s="67">
        <f t="shared" si="302"/>
        <v>0.69915406899192956</v>
      </c>
      <c r="CN141" s="67">
        <f t="shared" si="302"/>
        <v>-2.4670503766635177</v>
      </c>
      <c r="CO141" s="67">
        <f t="shared" si="302"/>
        <v>-1.2027419690947916</v>
      </c>
      <c r="CP141" s="67">
        <f t="shared" si="303"/>
        <v>-3.6697923457583093</v>
      </c>
    </row>
    <row r="142" spans="1:94" x14ac:dyDescent="0.2">
      <c r="A142" t="str">
        <f t="shared" si="285"/>
        <v>82 Transport and mobile machine drivers and operatives</v>
      </c>
      <c r="B142" s="26">
        <f t="shared" si="286"/>
        <v>5.3054326996072765E-2</v>
      </c>
      <c r="C142" s="26">
        <f t="shared" si="286"/>
        <v>-3.6033580795331283E-2</v>
      </c>
      <c r="D142" s="26">
        <f t="shared" si="286"/>
        <v>0.15061765875929287</v>
      </c>
      <c r="E142" s="26">
        <f t="shared" si="286"/>
        <v>0.22148030246742084</v>
      </c>
      <c r="F142" s="26">
        <f t="shared" si="287"/>
        <v>0.37209796122671368</v>
      </c>
      <c r="L142" t="str">
        <f t="shared" si="304"/>
        <v>82 Transport and mobile machine drivers and operatives</v>
      </c>
      <c r="M142" s="26">
        <f t="shared" si="288"/>
        <v>0.54105446457150941</v>
      </c>
      <c r="N142" s="26">
        <f t="shared" si="288"/>
        <v>-0.22023558029115753</v>
      </c>
      <c r="O142" s="26">
        <f t="shared" si="288"/>
        <v>0.91314934940686299</v>
      </c>
      <c r="P142" s="26">
        <f t="shared" si="288"/>
        <v>1.5979809832349132</v>
      </c>
      <c r="Q142" s="26">
        <f t="shared" si="289"/>
        <v>2.511130332641776</v>
      </c>
      <c r="W142" t="str">
        <f t="shared" si="305"/>
        <v>82 Transport and mobile machine drivers and operatives</v>
      </c>
      <c r="X142" s="26">
        <f t="shared" si="290"/>
        <v>0.52778574379731813</v>
      </c>
      <c r="Y142" s="26">
        <f t="shared" si="290"/>
        <v>-0.25159560443379814</v>
      </c>
      <c r="Z142" s="26">
        <f t="shared" si="290"/>
        <v>1.3002854935159363</v>
      </c>
      <c r="AA142" s="26">
        <f t="shared" si="290"/>
        <v>2.0513852339627388</v>
      </c>
      <c r="AB142" s="26">
        <f t="shared" si="291"/>
        <v>3.351670727478675</v>
      </c>
      <c r="AH142" t="str">
        <f t="shared" si="306"/>
        <v>82 Transport and mobile machine drivers and operatives</v>
      </c>
      <c r="AI142" s="26">
        <f t="shared" si="292"/>
        <v>0.33732664284637148</v>
      </c>
      <c r="AJ142" s="26">
        <f t="shared" si="292"/>
        <v>-7.2665187385289709E-2</v>
      </c>
      <c r="AK142" s="26">
        <f t="shared" si="292"/>
        <v>0.70813915559303187</v>
      </c>
      <c r="AL142" s="26">
        <f t="shared" si="292"/>
        <v>0.84627632158323207</v>
      </c>
      <c r="AM142" s="26">
        <f t="shared" si="293"/>
        <v>1.5544154771762639</v>
      </c>
      <c r="AS142" t="str">
        <f t="shared" si="307"/>
        <v>82 Transport and mobile machine drivers and operatives</v>
      </c>
      <c r="AT142" s="26">
        <f t="shared" si="294"/>
        <v>0.15588976568477975</v>
      </c>
      <c r="AU142" s="26">
        <f t="shared" si="294"/>
        <v>-0.34515821079787612</v>
      </c>
      <c r="AV142" s="26">
        <f t="shared" si="294"/>
        <v>1.0240579246063817</v>
      </c>
      <c r="AW142" s="26">
        <f t="shared" si="294"/>
        <v>0.8690750328851049</v>
      </c>
      <c r="AX142" s="26">
        <f t="shared" si="295"/>
        <v>1.8931329574914866</v>
      </c>
      <c r="BD142" t="str">
        <f t="shared" si="308"/>
        <v>82 Transport and mobile machine drivers and operatives</v>
      </c>
      <c r="BE142" s="26">
        <f t="shared" si="296"/>
        <v>0.52548940391118748</v>
      </c>
      <c r="BF142" s="26">
        <f t="shared" si="296"/>
        <v>-2.8626919762125347</v>
      </c>
      <c r="BG142" s="26">
        <f t="shared" si="296"/>
        <v>3.3398399048464356</v>
      </c>
      <c r="BH142" s="26">
        <f t="shared" si="296"/>
        <v>3.2600529182946012</v>
      </c>
      <c r="BI142" s="26">
        <f t="shared" si="297"/>
        <v>6.5998928231410368</v>
      </c>
      <c r="BO142" t="str">
        <f t="shared" si="309"/>
        <v>82 Transport and mobile machine drivers and operatives</v>
      </c>
      <c r="BP142" s="26">
        <f t="shared" si="298"/>
        <v>-0.99910943347097358</v>
      </c>
      <c r="BQ142" s="26">
        <f t="shared" si="298"/>
        <v>-1.5244567939556291</v>
      </c>
      <c r="BR142" s="26">
        <f t="shared" si="298"/>
        <v>1.1100726574011617</v>
      </c>
      <c r="BS142" s="26">
        <f t="shared" si="298"/>
        <v>-0.87098809076382011</v>
      </c>
      <c r="BT142" s="26">
        <f t="shared" si="299"/>
        <v>0.23908456663734157</v>
      </c>
      <c r="BZ142" t="str">
        <f t="shared" si="310"/>
        <v>82 Transport and mobile machine drivers and operatives</v>
      </c>
      <c r="CA142" s="67">
        <f t="shared" si="300"/>
        <v>3.6549209668882732</v>
      </c>
      <c r="CB142" s="67">
        <f t="shared" si="300"/>
        <v>-6.2098653437202955</v>
      </c>
      <c r="CC142" s="67">
        <f t="shared" si="300"/>
        <v>-0.67712584147878019</v>
      </c>
      <c r="CD142" s="67">
        <f t="shared" si="300"/>
        <v>-3.1477821082551287</v>
      </c>
      <c r="CE142" s="67">
        <f t="shared" si="301"/>
        <v>-3.8249079497339089</v>
      </c>
      <c r="CK142" t="str">
        <f t="shared" si="311"/>
        <v>82 Transport and mobile machine drivers and operatives</v>
      </c>
      <c r="CL142" s="67">
        <f t="shared" si="302"/>
        <v>0.91526317505149191</v>
      </c>
      <c r="CM142" s="67">
        <f t="shared" si="302"/>
        <v>2.345336625018243</v>
      </c>
      <c r="CN142" s="67">
        <f t="shared" si="302"/>
        <v>-2.1649898162808761</v>
      </c>
      <c r="CO142" s="67">
        <f t="shared" si="302"/>
        <v>-2.5448003439887037</v>
      </c>
      <c r="CP142" s="67">
        <f t="shared" si="303"/>
        <v>-4.7097901602695798</v>
      </c>
    </row>
    <row r="143" spans="1:94" x14ac:dyDescent="0.2">
      <c r="A143" t="str">
        <f t="shared" si="285"/>
        <v>91 Elementary trades and related occupations</v>
      </c>
      <c r="B143" s="26">
        <f t="shared" si="286"/>
        <v>-9.5889468019013345E-5</v>
      </c>
      <c r="C143" s="26">
        <f t="shared" si="286"/>
        <v>-4.7177464379654656E-4</v>
      </c>
      <c r="D143" s="26">
        <f t="shared" si="286"/>
        <v>4.7403308869187872E-4</v>
      </c>
      <c r="E143" s="26">
        <f t="shared" si="286"/>
        <v>1.1492771823754504E-3</v>
      </c>
      <c r="F143" s="26">
        <f t="shared" si="287"/>
        <v>1.6233102710673292E-3</v>
      </c>
      <c r="L143" t="str">
        <f t="shared" si="304"/>
        <v>91 Elementary trades and related occupations</v>
      </c>
      <c r="M143" s="26">
        <f t="shared" si="288"/>
        <v>0.17774322104778895</v>
      </c>
      <c r="N143" s="26">
        <f t="shared" si="288"/>
        <v>-0.20984380545344283</v>
      </c>
      <c r="O143" s="26">
        <f t="shared" si="288"/>
        <v>0.35575597973465101</v>
      </c>
      <c r="P143" s="26">
        <f t="shared" si="288"/>
        <v>0.63724593915022609</v>
      </c>
      <c r="Q143" s="26">
        <f t="shared" si="289"/>
        <v>0.9930019188848771</v>
      </c>
      <c r="W143" t="str">
        <f t="shared" si="305"/>
        <v>91 Elementary trades and related occupations</v>
      </c>
      <c r="X143" s="26">
        <f t="shared" si="290"/>
        <v>-0.29292071594237834</v>
      </c>
      <c r="Y143" s="26">
        <f t="shared" si="290"/>
        <v>-0.11922884265262157</v>
      </c>
      <c r="Z143" s="26">
        <f t="shared" si="290"/>
        <v>0.2441066627854056</v>
      </c>
      <c r="AA143" s="26">
        <f t="shared" si="290"/>
        <v>0.27308218766833026</v>
      </c>
      <c r="AB143" s="26">
        <f t="shared" si="291"/>
        <v>0.51718885045373586</v>
      </c>
      <c r="AH143" t="str">
        <f t="shared" si="306"/>
        <v>91 Elementary trades and related occupations</v>
      </c>
      <c r="AI143" s="26">
        <f t="shared" si="292"/>
        <v>-0.12333328443220792</v>
      </c>
      <c r="AJ143" s="26">
        <f t="shared" si="292"/>
        <v>-0.16532676592701345</v>
      </c>
      <c r="AK143" s="26">
        <f t="shared" si="292"/>
        <v>0.14387466356112677</v>
      </c>
      <c r="AL143" s="26">
        <f t="shared" si="292"/>
        <v>0.32475390529069292</v>
      </c>
      <c r="AM143" s="26">
        <f t="shared" si="293"/>
        <v>0.46862856885181969</v>
      </c>
      <c r="AS143" t="str">
        <f t="shared" si="307"/>
        <v>91 Elementary trades and related occupations</v>
      </c>
      <c r="AT143" s="26">
        <f t="shared" si="294"/>
        <v>-0.21755975506781877</v>
      </c>
      <c r="AU143" s="26">
        <f t="shared" si="294"/>
        <v>-3.1887931282263082E-2</v>
      </c>
      <c r="AV143" s="26">
        <f t="shared" si="294"/>
        <v>0.15706135093741946</v>
      </c>
      <c r="AW143" s="26">
        <f t="shared" si="294"/>
        <v>0.21525528490324164</v>
      </c>
      <c r="AX143" s="26">
        <f t="shared" si="295"/>
        <v>0.3723166358406611</v>
      </c>
      <c r="BD143" t="str">
        <f t="shared" si="308"/>
        <v>91 Elementary trades and related occupations</v>
      </c>
      <c r="BE143" s="26">
        <f t="shared" si="296"/>
        <v>-1.1714283772916598</v>
      </c>
      <c r="BF143" s="26">
        <f t="shared" si="296"/>
        <v>-0.9160632834650615</v>
      </c>
      <c r="BG143" s="26">
        <f t="shared" si="296"/>
        <v>8.8647863350129974E-2</v>
      </c>
      <c r="BH143" s="26">
        <f t="shared" si="296"/>
        <v>1.2699172144620618</v>
      </c>
      <c r="BI143" s="26">
        <f t="shared" si="297"/>
        <v>1.3585650778121918</v>
      </c>
      <c r="BO143" t="str">
        <f t="shared" si="309"/>
        <v>91 Elementary trades and related occupations</v>
      </c>
      <c r="BP143" s="26">
        <f t="shared" si="298"/>
        <v>-3.7291843646426024</v>
      </c>
      <c r="BQ143" s="26">
        <f t="shared" si="298"/>
        <v>-0.79593556983765978</v>
      </c>
      <c r="BR143" s="26">
        <f t="shared" si="298"/>
        <v>-1.8640648712545733</v>
      </c>
      <c r="BS143" s="26">
        <f t="shared" si="298"/>
        <v>-1.109542933689144</v>
      </c>
      <c r="BT143" s="26">
        <f t="shared" si="299"/>
        <v>-2.9736078049437173</v>
      </c>
      <c r="BZ143" t="str">
        <f t="shared" si="310"/>
        <v>91 Elementary trades and related occupations</v>
      </c>
      <c r="CA143" s="67">
        <f t="shared" si="300"/>
        <v>7.6020615928463542E-2</v>
      </c>
      <c r="CB143" s="67">
        <f t="shared" si="300"/>
        <v>-3.1901832634290912</v>
      </c>
      <c r="CC143" s="67">
        <f t="shared" si="300"/>
        <v>-2.5776070475066817</v>
      </c>
      <c r="CD143" s="67">
        <f t="shared" si="300"/>
        <v>-1.8580987604346362</v>
      </c>
      <c r="CE143" s="67">
        <f t="shared" si="301"/>
        <v>-4.4357058079413179</v>
      </c>
      <c r="CK143" t="str">
        <f t="shared" si="311"/>
        <v>91 Elementary trades and related occupations</v>
      </c>
      <c r="CL143" s="67">
        <f t="shared" si="302"/>
        <v>-0.55108379092590098</v>
      </c>
      <c r="CM143" s="67">
        <f t="shared" si="302"/>
        <v>0.8110797880341627</v>
      </c>
      <c r="CN143" s="67">
        <f t="shared" si="302"/>
        <v>-1.2330016970246325</v>
      </c>
      <c r="CO143" s="67">
        <f t="shared" si="302"/>
        <v>2.3435681404770037E-2</v>
      </c>
      <c r="CP143" s="67">
        <f t="shared" si="303"/>
        <v>-1.2095660156198624</v>
      </c>
    </row>
    <row r="144" spans="1:94" x14ac:dyDescent="0.2">
      <c r="A144" t="str">
        <f t="shared" si="285"/>
        <v>92 Elementary administration and service occupations</v>
      </c>
      <c r="B144" s="26">
        <f t="shared" si="286"/>
        <v>2.6723957899979472E-2</v>
      </c>
      <c r="C144" s="26">
        <f t="shared" si="286"/>
        <v>-2.4049737485876327E-2</v>
      </c>
      <c r="D144" s="26">
        <f t="shared" si="286"/>
        <v>0.11288083793766313</v>
      </c>
      <c r="E144" s="26">
        <f t="shared" si="286"/>
        <v>0.13949932789053887</v>
      </c>
      <c r="F144" s="26">
        <f t="shared" si="287"/>
        <v>0.252380165828202</v>
      </c>
      <c r="L144" t="str">
        <f t="shared" ref="L144" si="312">A144</f>
        <v>92 Elementary administration and service occupations</v>
      </c>
      <c r="M144" s="26">
        <f t="shared" si="288"/>
        <v>1.4968667627100594</v>
      </c>
      <c r="N144" s="26">
        <f t="shared" si="288"/>
        <v>-3.9126015163620131E-2</v>
      </c>
      <c r="O144" s="26">
        <f t="shared" si="288"/>
        <v>4.1931132684685863</v>
      </c>
      <c r="P144" s="26">
        <f t="shared" si="288"/>
        <v>8.4297222329323205</v>
      </c>
      <c r="Q144" s="26">
        <f t="shared" si="289"/>
        <v>12.622835501400907</v>
      </c>
      <c r="W144" t="str">
        <f t="shared" ref="W144" si="313">A144</f>
        <v>92 Elementary administration and service occupations</v>
      </c>
      <c r="X144" s="26">
        <f t="shared" si="290"/>
        <v>1.353696847269962</v>
      </c>
      <c r="Y144" s="26">
        <f t="shared" si="290"/>
        <v>1.2461221329313688</v>
      </c>
      <c r="Z144" s="26">
        <f t="shared" si="290"/>
        <v>6.7753193577422621</v>
      </c>
      <c r="AA144" s="26">
        <f t="shared" si="290"/>
        <v>8.4837671762148688</v>
      </c>
      <c r="AB144" s="26">
        <f t="shared" si="291"/>
        <v>15.259086533957131</v>
      </c>
      <c r="AH144" t="str">
        <f t="shared" ref="AH144" si="314">L144</f>
        <v>92 Elementary administration and service occupations</v>
      </c>
      <c r="AI144" s="26">
        <f t="shared" si="292"/>
        <v>0.40367865465970354</v>
      </c>
      <c r="AJ144" s="26">
        <f t="shared" si="292"/>
        <v>0.6116017004031864</v>
      </c>
      <c r="AK144" s="26">
        <f t="shared" si="292"/>
        <v>3.0585246563330664</v>
      </c>
      <c r="AL144" s="26">
        <f t="shared" si="292"/>
        <v>4.1962187908410069</v>
      </c>
      <c r="AM144" s="26">
        <f t="shared" si="293"/>
        <v>7.2547434471740733</v>
      </c>
      <c r="AS144" t="str">
        <f t="shared" ref="AS144" si="315">W144</f>
        <v>92 Elementary administration and service occupations</v>
      </c>
      <c r="AT144" s="26">
        <f t="shared" si="294"/>
        <v>0.19032478732822522</v>
      </c>
      <c r="AU144" s="26">
        <f t="shared" si="294"/>
        <v>0.98200046377012651</v>
      </c>
      <c r="AV144" s="26">
        <f t="shared" si="294"/>
        <v>2.4309896660921186</v>
      </c>
      <c r="AW144" s="26">
        <f t="shared" si="294"/>
        <v>3.6513517356079817</v>
      </c>
      <c r="AX144" s="26">
        <f t="shared" si="295"/>
        <v>6.0823414017001003</v>
      </c>
      <c r="BD144" t="str">
        <f t="shared" ref="BD144" si="316">AH144</f>
        <v>92 Elementary administration and service occupations</v>
      </c>
      <c r="BE144" s="26">
        <f t="shared" si="296"/>
        <v>1.2180898455355305E-2</v>
      </c>
      <c r="BF144" s="26">
        <f t="shared" si="296"/>
        <v>-4.8009022728471678</v>
      </c>
      <c r="BG144" s="26">
        <f t="shared" si="296"/>
        <v>2.4938067090593137</v>
      </c>
      <c r="BH144" s="26">
        <f t="shared" si="296"/>
        <v>-0.55873164918547502</v>
      </c>
      <c r="BI144" s="26">
        <f t="shared" si="297"/>
        <v>1.9350750598738387</v>
      </c>
      <c r="BO144" t="str">
        <f t="shared" ref="BO144" si="317">AS144</f>
        <v>92 Elementary administration and service occupations</v>
      </c>
      <c r="BP144" s="26">
        <f t="shared" si="298"/>
        <v>-3.2088803388262903</v>
      </c>
      <c r="BQ144" s="26">
        <f t="shared" si="298"/>
        <v>-7.8427637616265571</v>
      </c>
      <c r="BR144" s="26">
        <f t="shared" si="298"/>
        <v>0.6182138177299521</v>
      </c>
      <c r="BS144" s="26">
        <f t="shared" si="298"/>
        <v>-12.590872135418103</v>
      </c>
      <c r="BT144" s="26">
        <f t="shared" si="299"/>
        <v>-11.97265831768815</v>
      </c>
      <c r="BZ144" t="str">
        <f t="shared" ref="BZ144" si="318">BD144</f>
        <v>92 Elementary administration and service occupations</v>
      </c>
      <c r="CA144" s="67">
        <f t="shared" si="300"/>
        <v>9.678302150162196</v>
      </c>
      <c r="CB144" s="67">
        <f t="shared" si="300"/>
        <v>-8.5100486635568444</v>
      </c>
      <c r="CC144" s="67">
        <f t="shared" si="300"/>
        <v>0.91456535487935753</v>
      </c>
      <c r="CD144" s="67">
        <f t="shared" si="300"/>
        <v>-17.964641945616776</v>
      </c>
      <c r="CE144" s="67">
        <f t="shared" si="301"/>
        <v>-17.050076590737419</v>
      </c>
      <c r="CK144" t="str">
        <f t="shared" ref="CK144" si="319">BO144</f>
        <v>92 Elementary administration and service occupations</v>
      </c>
      <c r="CL144" s="67">
        <f t="shared" si="302"/>
        <v>-5.8261904731747585</v>
      </c>
      <c r="CM144" s="67">
        <f t="shared" si="302"/>
        <v>1.4695961561878939</v>
      </c>
      <c r="CN144" s="67">
        <f t="shared" si="302"/>
        <v>-5.3174613568316325</v>
      </c>
      <c r="CO144" s="67">
        <f t="shared" si="302"/>
        <v>-0.59819093231458176</v>
      </c>
      <c r="CP144" s="67">
        <f t="shared" si="303"/>
        <v>-5.9156522891462142</v>
      </c>
    </row>
    <row r="145" spans="1:94" x14ac:dyDescent="0.2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2">
      <c r="A146" s="23" t="str">
        <f t="shared" ref="A146" si="320">A35</f>
        <v>All occupations</v>
      </c>
      <c r="B146" s="28">
        <f>C35-B35</f>
        <v>11.270632863258271</v>
      </c>
      <c r="C146" s="28">
        <f>D35-C35</f>
        <v>-0.89208716690823309</v>
      </c>
      <c r="D146" s="28">
        <f>E35-D35</f>
        <v>14.921079129366078</v>
      </c>
      <c r="E146" s="28">
        <f>F35-E35</f>
        <v>29.830064089533593</v>
      </c>
      <c r="F146" s="28">
        <f>F35-D35</f>
        <v>44.751143218899671</v>
      </c>
      <c r="L146" s="23" t="str">
        <f t="shared" ref="L146" si="321">L35</f>
        <v>All occupations</v>
      </c>
      <c r="M146" s="28">
        <f>N35-M35</f>
        <v>77.251270704850384</v>
      </c>
      <c r="N146" s="28">
        <f t="shared" ref="N146" si="322">O35-N35</f>
        <v>5.9045635949324264</v>
      </c>
      <c r="O146" s="28">
        <f>P35-O35</f>
        <v>100.61670484603314</v>
      </c>
      <c r="P146" s="28">
        <f>Q35-P35</f>
        <v>208.41557689233491</v>
      </c>
      <c r="Q146" s="28">
        <f>Q35-O35</f>
        <v>309.03228173836806</v>
      </c>
      <c r="W146" s="23" t="str">
        <f t="shared" ref="W146" si="323">W35</f>
        <v>All occupations</v>
      </c>
      <c r="X146" s="28">
        <f>Y35-X35</f>
        <v>20.211277310647574</v>
      </c>
      <c r="Y146" s="28">
        <f t="shared" ref="Y146" si="324">Z35-Y35</f>
        <v>27.400624574082485</v>
      </c>
      <c r="Z146" s="28">
        <f>AA35-Z35</f>
        <v>70.45076390508018</v>
      </c>
      <c r="AA146" s="28">
        <f>AB35-AA35</f>
        <v>88.132596994371966</v>
      </c>
      <c r="AB146" s="28">
        <f>AB35-Z35</f>
        <v>158.58336089945215</v>
      </c>
      <c r="AH146" s="23" t="str">
        <f t="shared" ref="AH146" si="325">AH35</f>
        <v>All occupations</v>
      </c>
      <c r="AI146" s="28">
        <f>AJ35-AI35</f>
        <v>-14.779626303506603</v>
      </c>
      <c r="AJ146" s="28">
        <f t="shared" ref="AJ146" si="326">AK35-AJ35</f>
        <v>8.1642597934577736</v>
      </c>
      <c r="AK146" s="28">
        <f>AL35-AK35</f>
        <v>8.4298758925336017</v>
      </c>
      <c r="AL146" s="28">
        <f>AM35-AL35</f>
        <v>18.450052815830219</v>
      </c>
      <c r="AM146" s="28">
        <f>AM35-AK35</f>
        <v>26.879928708363821</v>
      </c>
      <c r="AS146" s="23" t="str">
        <f t="shared" ref="AS146" si="327">AS35</f>
        <v>All occupations</v>
      </c>
      <c r="AT146" s="28">
        <f>AU35-AT35</f>
        <v>0.39818910327457502</v>
      </c>
      <c r="AU146" s="28">
        <f t="shared" ref="AU146" si="328">AV35-AU35</f>
        <v>7.6483734199570961</v>
      </c>
      <c r="AV146" s="28">
        <f>AW35-AV35</f>
        <v>16.477043647549777</v>
      </c>
      <c r="AW146" s="28">
        <f>AX35-AW35</f>
        <v>24.209498167849262</v>
      </c>
      <c r="AX146" s="28">
        <f>AX35-AV35</f>
        <v>40.686541815399039</v>
      </c>
      <c r="BD146" s="23" t="str">
        <f t="shared" ref="BD146" si="329">BD35</f>
        <v>All occupations</v>
      </c>
      <c r="BE146" s="28">
        <f>BF35-BE35</f>
        <v>37.018097197709835</v>
      </c>
      <c r="BF146" s="28">
        <f t="shared" ref="BF146" si="330">BG35-BF35</f>
        <v>-31.010846779277017</v>
      </c>
      <c r="BG146" s="28">
        <f>BH35-BG35</f>
        <v>22.991577432014992</v>
      </c>
      <c r="BH146" s="28">
        <f>BI35-BH35</f>
        <v>29.610679097578441</v>
      </c>
      <c r="BI146" s="28">
        <f>BI35-BG35</f>
        <v>52.602256529593433</v>
      </c>
      <c r="BO146" s="23" t="str">
        <f t="shared" ref="BO146" si="331">BO35</f>
        <v>All occupations</v>
      </c>
      <c r="BP146" s="28">
        <f>BQ35-BP35</f>
        <v>-32.797807502093974</v>
      </c>
      <c r="BQ146" s="28">
        <f t="shared" ref="BQ146" si="332">BR35-BQ35</f>
        <v>-30.430422774141107</v>
      </c>
      <c r="BR146" s="28">
        <f>BS35-BR35</f>
        <v>-45.023847552483915</v>
      </c>
      <c r="BS146" s="28">
        <f>BT35-BS35</f>
        <v>-105.38660210362843</v>
      </c>
      <c r="BT146" s="28">
        <f>BT35-BR35</f>
        <v>-150.41044965611235</v>
      </c>
      <c r="BZ146" s="23" t="str">
        <f t="shared" ref="BZ146" si="333">BZ35</f>
        <v>All occupations</v>
      </c>
      <c r="CA146" s="69">
        <f>CB35-CA35</f>
        <v>53.762672616849613</v>
      </c>
      <c r="CB146" s="69">
        <f t="shared" ref="CB146" si="334">CC35-CB35</f>
        <v>-37.289969991904343</v>
      </c>
      <c r="CC146" s="69">
        <f>CD35-CC35</f>
        <v>-33.715071013397733</v>
      </c>
      <c r="CD146" s="69">
        <f>CE35-CD35</f>
        <v>-92.920162367782211</v>
      </c>
      <c r="CE146" s="69">
        <f>CE35-CC35</f>
        <v>-126.63523338117994</v>
      </c>
      <c r="CK146" s="23" t="str">
        <f t="shared" ref="CK146" si="335">CK35</f>
        <v>All occupations</v>
      </c>
      <c r="CL146" s="69">
        <f>CM35-CL35</f>
        <v>-8.0797059884528863</v>
      </c>
      <c r="CM146" s="69">
        <f t="shared" ref="CM146" si="336">CN35-CM35</f>
        <v>17.98550532661514</v>
      </c>
      <c r="CN146" s="69">
        <f>CO35-CN35</f>
        <v>-26.080126288826833</v>
      </c>
      <c r="CO146" s="69">
        <f>CP35-CO35</f>
        <v>-18.903703583129378</v>
      </c>
      <c r="CP146" s="69">
        <f>CP35-CN35</f>
        <v>-44.98382987195621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0" customWidth="1"/>
    <col min="2" max="4" width="11.7109375" style="90" customWidth="1"/>
    <col min="5" max="5" width="14.7109375" style="90" customWidth="1"/>
    <col min="6" max="8" width="11.7109375" style="90" customWidth="1"/>
    <col min="9" max="9" width="16.5703125" style="90" customWidth="1"/>
    <col min="10" max="11" width="11.7109375" style="90" customWidth="1"/>
    <col min="12" max="12" width="2.7109375" style="90" customWidth="1"/>
    <col min="13" max="22" width="11.7109375" style="90" customWidth="1"/>
    <col min="23" max="23" width="2.7109375" style="90" customWidth="1"/>
    <col min="24" max="32" width="11.7109375" style="90" customWidth="1"/>
    <col min="33" max="33" width="12.85546875" style="90" customWidth="1"/>
    <col min="34" max="16384" width="9.140625" style="90"/>
  </cols>
  <sheetData>
    <row r="1" spans="1:33" ht="15.75" x14ac:dyDescent="0.25">
      <c r="A1" s="18" t="str">
        <f>CONCATENATE("Basic Table 3  Occupation by Qualification in ",A$6,", ",Info!B5)</f>
        <v>Basic Table 3  Occupation by Qualification in 2020, South West</v>
      </c>
    </row>
    <row r="2" spans="1:33" x14ac:dyDescent="0.2">
      <c r="A2" s="181" t="s">
        <v>540</v>
      </c>
    </row>
    <row r="3" spans="1:33" x14ac:dyDescent="0.2">
      <c r="AG3" s="91"/>
    </row>
    <row r="4" spans="1:33" x14ac:dyDescent="0.2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2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51" x14ac:dyDescent="0.2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8">
        <f>'Basic T2'!D8</f>
        <v>3.4861988566076163</v>
      </c>
      <c r="C8" s="68">
        <f>'Basic T2'!O8</f>
        <v>28.241124394906265</v>
      </c>
      <c r="D8" s="68">
        <f>'Basic T2'!Z8</f>
        <v>60.40572643696909</v>
      </c>
      <c r="E8" s="68">
        <f>'Basic T2'!AK8</f>
        <v>11.776199386611198</v>
      </c>
      <c r="F8" s="68">
        <f>'Basic T2'!AV8</f>
        <v>16.524330254509131</v>
      </c>
      <c r="G8" s="68">
        <f>'Basic T2'!BG8</f>
        <v>43.616744940785736</v>
      </c>
      <c r="H8" s="68">
        <f>'Basic T2'!BR8</f>
        <v>30.54568268457313</v>
      </c>
      <c r="I8" s="68">
        <f>'Basic T2'!CC8</f>
        <v>21.761868795374788</v>
      </c>
      <c r="J8" s="68">
        <f>'Basic T2'!CN8</f>
        <v>4.0662926555322336</v>
      </c>
      <c r="K8" s="309">
        <f>SUM(B8:J8)</f>
        <v>220.42416840586921</v>
      </c>
      <c r="L8" s="96"/>
      <c r="M8" s="96">
        <f t="shared" ref="M8:M33" si="0">B8/B$35*100</f>
        <v>7.3962331413732567</v>
      </c>
      <c r="N8" s="96">
        <f t="shared" ref="N8:N33" si="1">C8/C$35*100</f>
        <v>8.6112691541619526</v>
      </c>
      <c r="O8" s="96">
        <f t="shared" ref="O8:O33" si="2">D8/D$35*100</f>
        <v>10.6036283945955</v>
      </c>
      <c r="P8" s="96">
        <f t="shared" ref="P8:P33" si="3">E8/E$35*100</f>
        <v>7.3836756905182526</v>
      </c>
      <c r="Q8" s="96">
        <f t="shared" ref="Q8:Q33" si="4">F8/F$35*100</f>
        <v>10.336591645543143</v>
      </c>
      <c r="R8" s="96">
        <f t="shared" ref="R8:R33" si="5">G8/G$35*100</f>
        <v>6.8017192524594785</v>
      </c>
      <c r="S8" s="96">
        <f t="shared" ref="S8:S33" si="6">H8/H$35*100</f>
        <v>5.5114223764584036</v>
      </c>
      <c r="T8" s="96">
        <f t="shared" ref="T8:T33" si="7">I8/I$35*100</f>
        <v>5.9299900299122488</v>
      </c>
      <c r="U8" s="96">
        <f t="shared" ref="U8:U33" si="8">J8/J$35*100</f>
        <v>3.9475184012869238</v>
      </c>
      <c r="V8" s="96">
        <f t="shared" ref="V8:V33" si="9">K8/K$35*100</f>
        <v>7.5240697206171099</v>
      </c>
      <c r="W8" s="96"/>
      <c r="X8" s="96">
        <f t="shared" ref="X8:X32" si="10">IF($K8&gt;0,B8/$K8*100,0)</f>
        <v>1.5815864847399326</v>
      </c>
      <c r="Y8" s="96">
        <f t="shared" ref="Y8:AG23" si="11">IF($K8&gt;0,C8/$K8*100,0)</f>
        <v>12.812172367099784</v>
      </c>
      <c r="Z8" s="96">
        <f t="shared" si="11"/>
        <v>27.40431182017365</v>
      </c>
      <c r="AA8" s="96">
        <f t="shared" si="11"/>
        <v>5.3425173254720262</v>
      </c>
      <c r="AB8" s="96">
        <f t="shared" si="11"/>
        <v>7.4966054648248539</v>
      </c>
      <c r="AC8" s="96">
        <f t="shared" si="11"/>
        <v>19.787641825407182</v>
      </c>
      <c r="AD8" s="96">
        <f t="shared" si="11"/>
        <v>13.857683077805271</v>
      </c>
      <c r="AE8" s="96">
        <f t="shared" si="11"/>
        <v>9.8727235551159911</v>
      </c>
      <c r="AF8" s="96">
        <f>IF($K8&gt;0,J8/$K8*100,0)</f>
        <v>1.8447580793613014</v>
      </c>
      <c r="AG8" s="96">
        <f t="shared" si="11"/>
        <v>100</v>
      </c>
    </row>
    <row r="9" spans="1:33" x14ac:dyDescent="0.2">
      <c r="A9" s="10" t="str">
        <f>name!D5</f>
        <v>12 Other managers and proprietors</v>
      </c>
      <c r="B9" s="68">
        <f>'Basic T2'!D9</f>
        <v>1.423788679032213</v>
      </c>
      <c r="C9" s="68">
        <f>'Basic T2'!O9</f>
        <v>12.125479096248933</v>
      </c>
      <c r="D9" s="68">
        <f>'Basic T2'!Z9</f>
        <v>25.199174418208287</v>
      </c>
      <c r="E9" s="68">
        <f>'Basic T2'!AK9</f>
        <v>7.573088599908198</v>
      </c>
      <c r="F9" s="68">
        <f>'Basic T2'!AV9</f>
        <v>7.733018399238631</v>
      </c>
      <c r="G9" s="68">
        <f>'Basic T2'!BG9</f>
        <v>20.81334718575695</v>
      </c>
      <c r="H9" s="68">
        <f>'Basic T2'!BR9</f>
        <v>21.726401752317088</v>
      </c>
      <c r="I9" s="68">
        <f>'Basic T2'!CC9</f>
        <v>16.016808570495527</v>
      </c>
      <c r="J9" s="68">
        <f>'Basic T2'!CN9</f>
        <v>3.6363829657987421</v>
      </c>
      <c r="K9" s="309">
        <f>SUM(B9:J9)</f>
        <v>116.24748966700457</v>
      </c>
      <c r="L9" s="96"/>
      <c r="M9" s="96">
        <f t="shared" si="0"/>
        <v>3.02067479432811</v>
      </c>
      <c r="N9" s="96">
        <f t="shared" si="1"/>
        <v>3.697294861949513</v>
      </c>
      <c r="O9" s="96">
        <f t="shared" si="2"/>
        <v>4.4234660708880469</v>
      </c>
      <c r="P9" s="96">
        <f t="shared" si="3"/>
        <v>4.7483257001284702</v>
      </c>
      <c r="Q9" s="96">
        <f t="shared" si="4"/>
        <v>4.8372945922325332</v>
      </c>
      <c r="R9" s="96">
        <f t="shared" si="5"/>
        <v>3.2456925534832473</v>
      </c>
      <c r="S9" s="96">
        <f t="shared" si="6"/>
        <v>3.9201407941725579</v>
      </c>
      <c r="T9" s="96">
        <f t="shared" si="7"/>
        <v>4.3644925914744155</v>
      </c>
      <c r="U9" s="96">
        <f t="shared" si="8"/>
        <v>3.5301661458348668</v>
      </c>
      <c r="V9" s="96">
        <f t="shared" si="9"/>
        <v>3.9680504339739637</v>
      </c>
      <c r="W9" s="96"/>
      <c r="X9" s="96">
        <f t="shared" si="10"/>
        <v>1.2247909035375393</v>
      </c>
      <c r="Y9" s="96">
        <f t="shared" si="11"/>
        <v>10.430744896928816</v>
      </c>
      <c r="Z9" s="96">
        <f t="shared" si="11"/>
        <v>21.677177279606035</v>
      </c>
      <c r="AA9" s="96">
        <f t="shared" si="11"/>
        <v>6.514625495657242</v>
      </c>
      <c r="AB9" s="96">
        <f t="shared" si="11"/>
        <v>6.6522024874602987</v>
      </c>
      <c r="AC9" s="96">
        <f t="shared" si="11"/>
        <v>17.904341199433716</v>
      </c>
      <c r="AD9" s="96">
        <f t="shared" si="11"/>
        <v>18.68978144349887</v>
      </c>
      <c r="AE9" s="96">
        <f t="shared" si="11"/>
        <v>13.778197375596063</v>
      </c>
      <c r="AF9" s="96">
        <f t="shared" si="11"/>
        <v>3.1281389182814201</v>
      </c>
      <c r="AG9" s="96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8">
        <f>'Basic T2'!D10</f>
        <v>8.5354572877533688</v>
      </c>
      <c r="C10" s="68">
        <f>'Basic T2'!O10</f>
        <v>35.618267058097523</v>
      </c>
      <c r="D10" s="68">
        <f>'Basic T2'!Z10</f>
        <v>54.441300571253528</v>
      </c>
      <c r="E10" s="68">
        <f>'Basic T2'!AK10</f>
        <v>6.0133702990246976</v>
      </c>
      <c r="F10" s="68">
        <f>'Basic T2'!AV10</f>
        <v>14.760185513240769</v>
      </c>
      <c r="G10" s="68">
        <f>'Basic T2'!BG10</f>
        <v>25.589652366518045</v>
      </c>
      <c r="H10" s="68">
        <f>'Basic T2'!BR10</f>
        <v>17.265837430697967</v>
      </c>
      <c r="I10" s="68">
        <f>'Basic T2'!CC10</f>
        <v>10.434538584098489</v>
      </c>
      <c r="J10" s="68">
        <f>'Basic T2'!CN10</f>
        <v>2.1311432952021514</v>
      </c>
      <c r="K10" s="309">
        <f t="shared" ref="K10:K32" si="12">SUM(B10:J10)</f>
        <v>174.7897524058865</v>
      </c>
      <c r="L10" s="96"/>
      <c r="M10" s="96">
        <f t="shared" si="0"/>
        <v>18.108614759253499</v>
      </c>
      <c r="N10" s="96">
        <f t="shared" si="1"/>
        <v>10.860703708292137</v>
      </c>
      <c r="O10" s="96">
        <f t="shared" si="2"/>
        <v>9.5566323695885895</v>
      </c>
      <c r="P10" s="96">
        <f t="shared" si="3"/>
        <v>3.7703825009513721</v>
      </c>
      <c r="Q10" s="96">
        <f t="shared" si="4"/>
        <v>9.2330525905095868</v>
      </c>
      <c r="R10" s="96">
        <f t="shared" si="5"/>
        <v>3.9905231672236647</v>
      </c>
      <c r="S10" s="96">
        <f t="shared" si="6"/>
        <v>3.1153117036700362</v>
      </c>
      <c r="T10" s="96">
        <f t="shared" si="7"/>
        <v>2.8433546012183393</v>
      </c>
      <c r="U10" s="96">
        <f t="shared" si="8"/>
        <v>2.0688937285770956</v>
      </c>
      <c r="V10" s="96">
        <f t="shared" si="9"/>
        <v>5.9663615521948117</v>
      </c>
      <c r="W10" s="96"/>
      <c r="X10" s="96">
        <f t="shared" si="10"/>
        <v>4.8832709985954041</v>
      </c>
      <c r="Y10" s="96">
        <f t="shared" si="11"/>
        <v>20.377777625879848</v>
      </c>
      <c r="Z10" s="96">
        <f t="shared" si="11"/>
        <v>31.14673476099053</v>
      </c>
      <c r="AA10" s="96">
        <f t="shared" si="11"/>
        <v>3.4403448807804256</v>
      </c>
      <c r="AB10" s="96">
        <f t="shared" si="11"/>
        <v>8.4445371139181731</v>
      </c>
      <c r="AC10" s="96">
        <f t="shared" si="11"/>
        <v>14.6402475055261</v>
      </c>
      <c r="AD10" s="96">
        <f t="shared" si="11"/>
        <v>9.8780604658128084</v>
      </c>
      <c r="AE10" s="96">
        <f t="shared" si="11"/>
        <v>5.9697656415623355</v>
      </c>
      <c r="AF10" s="96">
        <f t="shared" si="11"/>
        <v>1.2192610069343972</v>
      </c>
      <c r="AG10" s="96">
        <f t="shared" si="11"/>
        <v>100</v>
      </c>
    </row>
    <row r="11" spans="1:33" x14ac:dyDescent="0.2">
      <c r="A11" s="10" t="str">
        <f>name!D7</f>
        <v>22 Health professionals</v>
      </c>
      <c r="B11" s="68">
        <f>'Basic T2'!D11</f>
        <v>9.4652843719364164</v>
      </c>
      <c r="C11" s="68">
        <f>'Basic T2'!O11</f>
        <v>26.312267548425872</v>
      </c>
      <c r="D11" s="68">
        <f>'Basic T2'!Z11</f>
        <v>49.098990872473628</v>
      </c>
      <c r="E11" s="68">
        <f>'Basic T2'!AK11</f>
        <v>15.6737813157681</v>
      </c>
      <c r="F11" s="68">
        <f>'Basic T2'!AV11</f>
        <v>3.7676262570513028</v>
      </c>
      <c r="G11" s="68">
        <f>'Basic T2'!BG11</f>
        <v>15.123363609708067</v>
      </c>
      <c r="H11" s="68">
        <f>'Basic T2'!BR11</f>
        <v>10.369319486390932</v>
      </c>
      <c r="I11" s="68">
        <f>'Basic T2'!CC11</f>
        <v>5.5523938157879247</v>
      </c>
      <c r="J11" s="68">
        <f>'Basic T2'!CN11</f>
        <v>0.70385644957222704</v>
      </c>
      <c r="K11" s="309">
        <f t="shared" si="12"/>
        <v>136.06688372711446</v>
      </c>
      <c r="L11" s="96"/>
      <c r="M11" s="96">
        <f t="shared" si="0"/>
        <v>20.081312869330119</v>
      </c>
      <c r="N11" s="96">
        <f t="shared" si="1"/>
        <v>8.0231231146265518</v>
      </c>
      <c r="O11" s="96">
        <f t="shared" si="2"/>
        <v>8.6188426904293589</v>
      </c>
      <c r="P11" s="96">
        <f t="shared" si="3"/>
        <v>9.8274591216003042</v>
      </c>
      <c r="Q11" s="96">
        <f t="shared" si="4"/>
        <v>2.3567922870301143</v>
      </c>
      <c r="R11" s="96">
        <f t="shared" si="5"/>
        <v>2.3583803322725294</v>
      </c>
      <c r="S11" s="96">
        <f t="shared" si="6"/>
        <v>1.8709583294009722</v>
      </c>
      <c r="T11" s="96">
        <f t="shared" si="7"/>
        <v>1.5129968974340453</v>
      </c>
      <c r="U11" s="96">
        <f t="shared" si="8"/>
        <v>0.68329717556622205</v>
      </c>
      <c r="V11" s="96">
        <f t="shared" si="9"/>
        <v>4.6445756254133652</v>
      </c>
      <c r="W11" s="96"/>
      <c r="X11" s="96">
        <f t="shared" si="10"/>
        <v>6.9563468440412599</v>
      </c>
      <c r="Y11" s="96">
        <f t="shared" si="11"/>
        <v>19.337745399678425</v>
      </c>
      <c r="Z11" s="96">
        <f t="shared" si="11"/>
        <v>36.084453121556663</v>
      </c>
      <c r="AA11" s="96">
        <f t="shared" si="11"/>
        <v>11.51917416379011</v>
      </c>
      <c r="AB11" s="96">
        <f t="shared" si="11"/>
        <v>2.7689516757121972</v>
      </c>
      <c r="AC11" s="96">
        <f t="shared" si="11"/>
        <v>11.114654202001386</v>
      </c>
      <c r="AD11" s="96">
        <f t="shared" si="11"/>
        <v>7.6207517967317173</v>
      </c>
      <c r="AE11" s="96">
        <f t="shared" si="11"/>
        <v>4.0806356871693996</v>
      </c>
      <c r="AF11" s="96">
        <f t="shared" si="11"/>
        <v>0.51728710931884703</v>
      </c>
      <c r="AG11" s="96">
        <f t="shared" si="11"/>
        <v>100</v>
      </c>
    </row>
    <row r="12" spans="1:33" x14ac:dyDescent="0.2">
      <c r="A12" s="10" t="str">
        <f>name!D8</f>
        <v>23 Teaching and other educational professionals</v>
      </c>
      <c r="B12" s="68">
        <f>'Basic T2'!D12</f>
        <v>12.841422880824185</v>
      </c>
      <c r="C12" s="68">
        <f>'Basic T2'!O12</f>
        <v>73.712736619149069</v>
      </c>
      <c r="D12" s="68">
        <f>'Basic T2'!Z12</f>
        <v>39.206371113795001</v>
      </c>
      <c r="E12" s="68">
        <f>'Basic T2'!AK12</f>
        <v>3.4655840740062094</v>
      </c>
      <c r="F12" s="68">
        <f>'Basic T2'!AV12</f>
        <v>1.5805413664990304</v>
      </c>
      <c r="G12" s="68">
        <f>'Basic T2'!BG12</f>
        <v>7.0532639283847853</v>
      </c>
      <c r="H12" s="68">
        <f>'Basic T2'!BR12</f>
        <v>4.5163082391001543</v>
      </c>
      <c r="I12" s="68">
        <f>'Basic T2'!CC12</f>
        <v>4.0626442812652002</v>
      </c>
      <c r="J12" s="68">
        <f>'Basic T2'!CN12</f>
        <v>0.72751284898976487</v>
      </c>
      <c r="K12" s="309">
        <f t="shared" si="12"/>
        <v>147.16638535201338</v>
      </c>
      <c r="L12" s="96"/>
      <c r="M12" s="96">
        <f t="shared" si="0"/>
        <v>27.24404470316502</v>
      </c>
      <c r="N12" s="96">
        <f t="shared" si="1"/>
        <v>22.476449812735915</v>
      </c>
      <c r="O12" s="96">
        <f t="shared" si="2"/>
        <v>6.8822910428050639</v>
      </c>
      <c r="P12" s="96">
        <f t="shared" si="3"/>
        <v>2.1729208245046925</v>
      </c>
      <c r="Q12" s="96">
        <f t="shared" si="4"/>
        <v>0.9886882211114788</v>
      </c>
      <c r="R12" s="96">
        <f t="shared" si="5"/>
        <v>1.0999060365348881</v>
      </c>
      <c r="S12" s="96">
        <f t="shared" si="6"/>
        <v>0.81488708388014508</v>
      </c>
      <c r="T12" s="96">
        <f t="shared" si="7"/>
        <v>1.1070483104880673</v>
      </c>
      <c r="U12" s="96">
        <f t="shared" si="8"/>
        <v>0.7062625840893576</v>
      </c>
      <c r="V12" s="96">
        <f t="shared" si="9"/>
        <v>5.0234516111721872</v>
      </c>
      <c r="W12" s="96"/>
      <c r="X12" s="96">
        <f t="shared" si="10"/>
        <v>8.7257853416106208</v>
      </c>
      <c r="Y12" s="96">
        <f t="shared" si="11"/>
        <v>50.088025497692648</v>
      </c>
      <c r="Z12" s="96">
        <f t="shared" si="11"/>
        <v>26.640846698799901</v>
      </c>
      <c r="AA12" s="96">
        <f t="shared" si="11"/>
        <v>2.3548747668951271</v>
      </c>
      <c r="AB12" s="96">
        <f t="shared" si="11"/>
        <v>1.0739825964458309</v>
      </c>
      <c r="AC12" s="96">
        <f t="shared" si="11"/>
        <v>4.7927139825536864</v>
      </c>
      <c r="AD12" s="96">
        <f t="shared" si="11"/>
        <v>3.0688449867796979</v>
      </c>
      <c r="AE12" s="96">
        <f t="shared" si="11"/>
        <v>2.7605789675051087</v>
      </c>
      <c r="AF12" s="96">
        <f t="shared" si="11"/>
        <v>0.49434716171739679</v>
      </c>
      <c r="AG12" s="96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8">
        <f>'Basic T2'!D13</f>
        <v>3.3501131993732312</v>
      </c>
      <c r="C13" s="68">
        <f>'Basic T2'!O13</f>
        <v>45.608089214382787</v>
      </c>
      <c r="D13" s="68">
        <f>'Basic T2'!Z13</f>
        <v>68.204122559371683</v>
      </c>
      <c r="E13" s="68">
        <f>'Basic T2'!AK13</f>
        <v>6.3693784009826331</v>
      </c>
      <c r="F13" s="68">
        <f>'Basic T2'!AV13</f>
        <v>11.14411372795678</v>
      </c>
      <c r="G13" s="68">
        <f>'Basic T2'!BG13</f>
        <v>29.16290797491023</v>
      </c>
      <c r="H13" s="68">
        <f>'Basic T2'!BR13</f>
        <v>17.747764968659613</v>
      </c>
      <c r="I13" s="68">
        <f>'Basic T2'!CC13</f>
        <v>11.482759436271838</v>
      </c>
      <c r="J13" s="68">
        <f>'Basic T2'!CN13</f>
        <v>2.1719465721492202</v>
      </c>
      <c r="K13" s="309">
        <f t="shared" si="12"/>
        <v>195.24119605405804</v>
      </c>
      <c r="L13" s="96"/>
      <c r="M13" s="96">
        <f t="shared" si="0"/>
        <v>7.1075171818132343</v>
      </c>
      <c r="N13" s="96">
        <f t="shared" si="1"/>
        <v>13.906795152353016</v>
      </c>
      <c r="O13" s="96">
        <f t="shared" si="2"/>
        <v>11.972559776326278</v>
      </c>
      <c r="P13" s="96">
        <f t="shared" si="3"/>
        <v>3.9935995408261351</v>
      </c>
      <c r="Q13" s="96">
        <f t="shared" si="4"/>
        <v>6.97106334012825</v>
      </c>
      <c r="R13" s="96">
        <f t="shared" si="5"/>
        <v>4.5477468091656643</v>
      </c>
      <c r="S13" s="96">
        <f t="shared" si="6"/>
        <v>3.2022669124954972</v>
      </c>
      <c r="T13" s="96">
        <f t="shared" si="7"/>
        <v>3.1289890410259722</v>
      </c>
      <c r="U13" s="96">
        <f t="shared" si="8"/>
        <v>2.1085051634211225</v>
      </c>
      <c r="V13" s="96">
        <f t="shared" si="9"/>
        <v>6.6644614430052291</v>
      </c>
      <c r="W13" s="96"/>
      <c r="X13" s="96">
        <f t="shared" si="10"/>
        <v>1.7158843866361368</v>
      </c>
      <c r="Y13" s="96">
        <f t="shared" si="11"/>
        <v>23.359869810342126</v>
      </c>
      <c r="Z13" s="96">
        <f t="shared" si="11"/>
        <v>34.933264053805246</v>
      </c>
      <c r="AA13" s="96">
        <f t="shared" si="11"/>
        <v>3.2623127340497806</v>
      </c>
      <c r="AB13" s="96">
        <f t="shared" si="11"/>
        <v>5.7078700362351897</v>
      </c>
      <c r="AC13" s="96">
        <f t="shared" si="11"/>
        <v>14.936861976012302</v>
      </c>
      <c r="AD13" s="96">
        <f t="shared" si="11"/>
        <v>9.0901742702629438</v>
      </c>
      <c r="AE13" s="96">
        <f t="shared" si="11"/>
        <v>5.8813199613326033</v>
      </c>
      <c r="AF13" s="96">
        <f t="shared" si="11"/>
        <v>1.1124427713236582</v>
      </c>
      <c r="AG13" s="96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8">
        <f>'Basic T2'!D14</f>
        <v>1.3141871099797917</v>
      </c>
      <c r="C14" s="68">
        <f>'Basic T2'!O14</f>
        <v>6.8015616804501944</v>
      </c>
      <c r="D14" s="68">
        <f>'Basic T2'!Z14</f>
        <v>13.979883171258711</v>
      </c>
      <c r="E14" s="68">
        <f>'Basic T2'!AK14</f>
        <v>2.619567171501016</v>
      </c>
      <c r="F14" s="68">
        <f>'Basic T2'!AV14</f>
        <v>5.9989599882081519</v>
      </c>
      <c r="G14" s="68">
        <f>'Basic T2'!BG14</f>
        <v>11.034667114931107</v>
      </c>
      <c r="H14" s="68">
        <f>'Basic T2'!BR14</f>
        <v>7.7253427562794625</v>
      </c>
      <c r="I14" s="68">
        <f>'Basic T2'!CC14</f>
        <v>6.5715146128025523</v>
      </c>
      <c r="J14" s="68">
        <f>'Basic T2'!CN14</f>
        <v>1.1813592117330669</v>
      </c>
      <c r="K14" s="309">
        <f t="shared" si="12"/>
        <v>57.227042817144053</v>
      </c>
      <c r="L14" s="96"/>
      <c r="M14" s="96">
        <f t="shared" si="0"/>
        <v>2.7881468202466628</v>
      </c>
      <c r="N14" s="96">
        <f t="shared" si="1"/>
        <v>2.073928696321834</v>
      </c>
      <c r="O14" s="96">
        <f t="shared" si="2"/>
        <v>2.4540303526117908</v>
      </c>
      <c r="P14" s="96">
        <f t="shared" si="3"/>
        <v>1.6424683218154743</v>
      </c>
      <c r="Q14" s="96">
        <f t="shared" si="4"/>
        <v>3.7525756712069542</v>
      </c>
      <c r="R14" s="96">
        <f t="shared" si="5"/>
        <v>1.7207773725894258</v>
      </c>
      <c r="S14" s="96">
        <f t="shared" si="6"/>
        <v>1.393899994720792</v>
      </c>
      <c r="T14" s="96">
        <f t="shared" si="7"/>
        <v>1.7907017316281293</v>
      </c>
      <c r="U14" s="96">
        <f t="shared" si="8"/>
        <v>1.1468523350136741</v>
      </c>
      <c r="V14" s="96">
        <f t="shared" si="9"/>
        <v>1.95341673816866</v>
      </c>
      <c r="W14" s="96"/>
      <c r="X14" s="96">
        <f t="shared" si="10"/>
        <v>2.2964442076431881</v>
      </c>
      <c r="Y14" s="96">
        <f t="shared" si="11"/>
        <v>11.885223044257295</v>
      </c>
      <c r="Z14" s="96">
        <f t="shared" si="11"/>
        <v>24.428805828615392</v>
      </c>
      <c r="AA14" s="96">
        <f t="shared" si="11"/>
        <v>4.5774987532926428</v>
      </c>
      <c r="AB14" s="96">
        <f t="shared" si="11"/>
        <v>10.482736295454684</v>
      </c>
      <c r="AC14" s="96">
        <f t="shared" si="11"/>
        <v>19.282259875265382</v>
      </c>
      <c r="AD14" s="96">
        <f t="shared" si="11"/>
        <v>13.499461750913866</v>
      </c>
      <c r="AE14" s="96">
        <f t="shared" si="11"/>
        <v>11.483232907561424</v>
      </c>
      <c r="AF14" s="96">
        <f t="shared" si="11"/>
        <v>2.0643373369961306</v>
      </c>
      <c r="AG14" s="96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8">
        <f>'Basic T2'!D15</f>
        <v>0.28687145918484741</v>
      </c>
      <c r="C15" s="68">
        <f>'Basic T2'!O15</f>
        <v>6.5249208233257976</v>
      </c>
      <c r="D15" s="68">
        <f>'Basic T2'!Z15</f>
        <v>17.405654070293693</v>
      </c>
      <c r="E15" s="68">
        <f>'Basic T2'!AK15</f>
        <v>8.6616181194705018</v>
      </c>
      <c r="F15" s="68">
        <f>'Basic T2'!AV15</f>
        <v>2.9064290622236499</v>
      </c>
      <c r="G15" s="68">
        <f>'Basic T2'!BG15</f>
        <v>11.898376500734313</v>
      </c>
      <c r="H15" s="68">
        <f>'Basic T2'!BR15</f>
        <v>8.1546963862115991</v>
      </c>
      <c r="I15" s="68">
        <f>'Basic T2'!CC15</f>
        <v>2.6867599049150916</v>
      </c>
      <c r="J15" s="68">
        <f>'Basic T2'!CN15</f>
        <v>0.36587439527527432</v>
      </c>
      <c r="K15" s="309">
        <f t="shared" si="12"/>
        <v>58.891200721634775</v>
      </c>
      <c r="L15" s="96"/>
      <c r="M15" s="96">
        <f t="shared" si="0"/>
        <v>0.60861938202852384</v>
      </c>
      <c r="N15" s="96">
        <f t="shared" si="1"/>
        <v>1.9895755081688185</v>
      </c>
      <c r="O15" s="96">
        <f t="shared" si="2"/>
        <v>3.0553905831901047</v>
      </c>
      <c r="P15" s="96">
        <f t="shared" si="3"/>
        <v>5.4308335864284984</v>
      </c>
      <c r="Q15" s="96">
        <f t="shared" si="4"/>
        <v>1.8180809691059525</v>
      </c>
      <c r="R15" s="96">
        <f t="shared" si="5"/>
        <v>1.8554666706084122</v>
      </c>
      <c r="S15" s="96">
        <f t="shared" si="6"/>
        <v>1.4713691817040222</v>
      </c>
      <c r="T15" s="96">
        <f t="shared" si="7"/>
        <v>0.73212735536300622</v>
      </c>
      <c r="U15" s="96">
        <f t="shared" si="8"/>
        <v>0.35518739802062477</v>
      </c>
      <c r="V15" s="96">
        <f t="shared" si="9"/>
        <v>2.0102219432877684</v>
      </c>
      <c r="W15" s="96"/>
      <c r="X15" s="96">
        <f t="shared" si="10"/>
        <v>0.48712109053578839</v>
      </c>
      <c r="Y15" s="96">
        <f t="shared" si="11"/>
        <v>11.07961926972351</v>
      </c>
      <c r="Z15" s="96">
        <f t="shared" si="11"/>
        <v>29.555610782273291</v>
      </c>
      <c r="AA15" s="96">
        <f t="shared" si="11"/>
        <v>14.707830734190644</v>
      </c>
      <c r="AB15" s="96">
        <f t="shared" si="11"/>
        <v>4.9352518315285749</v>
      </c>
      <c r="AC15" s="96">
        <f t="shared" si="11"/>
        <v>20.203997125097203</v>
      </c>
      <c r="AD15" s="96">
        <f t="shared" si="11"/>
        <v>13.847054035724254</v>
      </c>
      <c r="AE15" s="96">
        <f t="shared" si="11"/>
        <v>4.5622433776054097</v>
      </c>
      <c r="AF15" s="96">
        <f t="shared" si="11"/>
        <v>0.62127175332131335</v>
      </c>
      <c r="AG15" s="96">
        <f t="shared" si="11"/>
        <v>100</v>
      </c>
    </row>
    <row r="16" spans="1:33" x14ac:dyDescent="0.2">
      <c r="A16" s="10" t="str">
        <f>name!D12</f>
        <v>33 Protective service occupations</v>
      </c>
      <c r="B16" s="68">
        <f>'Basic T2'!D16</f>
        <v>8.2904779256705433E-2</v>
      </c>
      <c r="C16" s="68">
        <f>'Basic T2'!O16</f>
        <v>1.263930718428014</v>
      </c>
      <c r="D16" s="68">
        <f>'Basic T2'!Z16</f>
        <v>5.1152319471523189</v>
      </c>
      <c r="E16" s="68">
        <f>'Basic T2'!AK16</f>
        <v>1.3734033882784735</v>
      </c>
      <c r="F16" s="68">
        <f>'Basic T2'!AV16</f>
        <v>1.0904037096248682</v>
      </c>
      <c r="G16" s="68">
        <f>'Basic T2'!BG16</f>
        <v>4.3480756415272603</v>
      </c>
      <c r="H16" s="68">
        <f>'Basic T2'!BR16</f>
        <v>4.7646743513337775</v>
      </c>
      <c r="I16" s="68">
        <f>'Basic T2'!CC16</f>
        <v>2.8310036908184895</v>
      </c>
      <c r="J16" s="68">
        <f>'Basic T2'!CN16</f>
        <v>0.32760152806551623</v>
      </c>
      <c r="K16" s="309">
        <f t="shared" si="12"/>
        <v>21.19722975448542</v>
      </c>
      <c r="L16" s="96"/>
      <c r="M16" s="96">
        <f t="shared" si="0"/>
        <v>0.17588872612773468</v>
      </c>
      <c r="N16" s="96">
        <f t="shared" si="1"/>
        <v>0.38539710588010523</v>
      </c>
      <c r="O16" s="96">
        <f t="shared" si="2"/>
        <v>0.89792842366300474</v>
      </c>
      <c r="P16" s="96">
        <f t="shared" si="3"/>
        <v>0.86112376993519502</v>
      </c>
      <c r="Q16" s="96">
        <f t="shared" si="4"/>
        <v>0.68208863545934262</v>
      </c>
      <c r="R16" s="96">
        <f t="shared" si="5"/>
        <v>0.67805128150384386</v>
      </c>
      <c r="S16" s="96">
        <f t="shared" si="6"/>
        <v>0.85970030880144299</v>
      </c>
      <c r="T16" s="96">
        <f t="shared" si="7"/>
        <v>0.771432996819026</v>
      </c>
      <c r="U16" s="96">
        <f t="shared" si="8"/>
        <v>0.31803246098603111</v>
      </c>
      <c r="V16" s="96">
        <f t="shared" si="9"/>
        <v>0.72355692985089692</v>
      </c>
      <c r="W16" s="96"/>
      <c r="X16" s="96">
        <f t="shared" si="10"/>
        <v>0.39111138680356305</v>
      </c>
      <c r="Y16" s="96">
        <f t="shared" si="11"/>
        <v>5.962716510918419</v>
      </c>
      <c r="Z16" s="96">
        <f t="shared" si="11"/>
        <v>24.131605905106138</v>
      </c>
      <c r="AA16" s="96">
        <f t="shared" si="11"/>
        <v>6.4791645143528989</v>
      </c>
      <c r="AB16" s="96">
        <f t="shared" si="11"/>
        <v>5.1440859124251102</v>
      </c>
      <c r="AC16" s="96">
        <f t="shared" si="11"/>
        <v>20.512471166696628</v>
      </c>
      <c r="AD16" s="96">
        <f t="shared" si="11"/>
        <v>22.477816235989767</v>
      </c>
      <c r="AE16" s="96">
        <f t="shared" si="11"/>
        <v>13.355536188493863</v>
      </c>
      <c r="AF16" s="96">
        <f t="shared" si="11"/>
        <v>1.5454921792136278</v>
      </c>
      <c r="AG16" s="96">
        <f t="shared" si="11"/>
        <v>100</v>
      </c>
    </row>
    <row r="17" spans="1:33" x14ac:dyDescent="0.2">
      <c r="A17" s="10" t="str">
        <f>name!D13</f>
        <v>34 Culture, media and sports occupations</v>
      </c>
      <c r="B17" s="68">
        <f>'Basic T2'!D17</f>
        <v>0.82818543440191283</v>
      </c>
      <c r="C17" s="68">
        <f>'Basic T2'!O17</f>
        <v>12.99899389438759</v>
      </c>
      <c r="D17" s="68">
        <f>'Basic T2'!Z17</f>
        <v>22.382582359197023</v>
      </c>
      <c r="E17" s="68">
        <f>'Basic T2'!AK17</f>
        <v>2.9180580442792641</v>
      </c>
      <c r="F17" s="68">
        <f>'Basic T2'!AV17</f>
        <v>3.7152964223872011</v>
      </c>
      <c r="G17" s="68">
        <f>'Basic T2'!BG17</f>
        <v>9.8741789490943717</v>
      </c>
      <c r="H17" s="68">
        <f>'Basic T2'!BR17</f>
        <v>4.3464910515801192</v>
      </c>
      <c r="I17" s="68">
        <f>'Basic T2'!CC17</f>
        <v>4.102207798422846</v>
      </c>
      <c r="J17" s="68">
        <f>'Basic T2'!CN17</f>
        <v>1.0214504620146041</v>
      </c>
      <c r="K17" s="309">
        <f t="shared" si="12"/>
        <v>62.187444415764929</v>
      </c>
      <c r="L17" s="96"/>
      <c r="M17" s="96">
        <f t="shared" si="0"/>
        <v>1.7570577035547104</v>
      </c>
      <c r="N17" s="96">
        <f t="shared" si="1"/>
        <v>3.9636465458177428</v>
      </c>
      <c r="O17" s="96">
        <f t="shared" si="2"/>
        <v>3.92904116625441</v>
      </c>
      <c r="P17" s="96">
        <f t="shared" si="3"/>
        <v>1.8296220654655768</v>
      </c>
      <c r="Q17" s="96">
        <f t="shared" si="4"/>
        <v>2.3240580022832935</v>
      </c>
      <c r="R17" s="96">
        <f t="shared" si="5"/>
        <v>1.5398075475706374</v>
      </c>
      <c r="S17" s="96">
        <f t="shared" si="6"/>
        <v>0.78424660820736403</v>
      </c>
      <c r="T17" s="96">
        <f t="shared" si="7"/>
        <v>1.1178291521749248</v>
      </c>
      <c r="U17" s="96">
        <f t="shared" si="8"/>
        <v>0.99161443515872782</v>
      </c>
      <c r="V17" s="96">
        <f t="shared" si="9"/>
        <v>2.1227375877842154</v>
      </c>
      <c r="W17" s="96"/>
      <c r="X17" s="96">
        <f t="shared" si="10"/>
        <v>1.3317566627516251</v>
      </c>
      <c r="Y17" s="96">
        <f t="shared" si="11"/>
        <v>20.902923438179201</v>
      </c>
      <c r="Z17" s="96">
        <f t="shared" si="11"/>
        <v>35.992124406261809</v>
      </c>
      <c r="AA17" s="96">
        <f t="shared" si="11"/>
        <v>4.6923588381765322</v>
      </c>
      <c r="AB17" s="96">
        <f t="shared" si="11"/>
        <v>5.9743513458246387</v>
      </c>
      <c r="AC17" s="96">
        <f t="shared" si="11"/>
        <v>15.878090894166414</v>
      </c>
      <c r="AD17" s="96">
        <f t="shared" si="11"/>
        <v>6.9893385914380088</v>
      </c>
      <c r="AE17" s="96">
        <f t="shared" si="11"/>
        <v>6.5965209488217988</v>
      </c>
      <c r="AF17" s="96">
        <f t="shared" si="11"/>
        <v>1.6425348743799795</v>
      </c>
      <c r="AG17" s="96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8">
        <f>'Basic T2'!D18</f>
        <v>2.2004651952359144</v>
      </c>
      <c r="C18" s="68">
        <f>'Basic T2'!O18</f>
        <v>25.034967688982544</v>
      </c>
      <c r="D18" s="68">
        <f>'Basic T2'!Z18</f>
        <v>45.439208545511313</v>
      </c>
      <c r="E18" s="68">
        <f>'Basic T2'!AK18</f>
        <v>12.250608215701893</v>
      </c>
      <c r="F18" s="68">
        <f>'Basic T2'!AV18</f>
        <v>10.666065773412706</v>
      </c>
      <c r="G18" s="68">
        <f>'Basic T2'!BG18</f>
        <v>35.706163026875487</v>
      </c>
      <c r="H18" s="68">
        <f>'Basic T2'!BR18</f>
        <v>25.950748970377603</v>
      </c>
      <c r="I18" s="68">
        <f>'Basic T2'!CC18</f>
        <v>16.118578705636505</v>
      </c>
      <c r="J18" s="68">
        <f>'Basic T2'!CN18</f>
        <v>2.8796165317419327</v>
      </c>
      <c r="K18" s="309">
        <f t="shared" si="12"/>
        <v>176.24642265347589</v>
      </c>
      <c r="L18" s="96"/>
      <c r="M18" s="96">
        <f t="shared" si="0"/>
        <v>4.6684524529043721</v>
      </c>
      <c r="N18" s="96">
        <f t="shared" si="1"/>
        <v>7.6336494971305155</v>
      </c>
      <c r="O18" s="96">
        <f t="shared" si="2"/>
        <v>7.9764040659934814</v>
      </c>
      <c r="P18" s="96">
        <f t="shared" si="3"/>
        <v>7.681129972984527</v>
      </c>
      <c r="Q18" s="96">
        <f t="shared" si="4"/>
        <v>6.6720263191415219</v>
      </c>
      <c r="R18" s="96">
        <f t="shared" si="5"/>
        <v>5.5681206110421124</v>
      </c>
      <c r="S18" s="96">
        <f t="shared" si="6"/>
        <v>4.682348731181837</v>
      </c>
      <c r="T18" s="96">
        <f t="shared" si="7"/>
        <v>4.3922243957786993</v>
      </c>
      <c r="U18" s="96">
        <f t="shared" si="8"/>
        <v>2.7955044584004365</v>
      </c>
      <c r="V18" s="96">
        <f t="shared" si="9"/>
        <v>6.0160842690006664</v>
      </c>
      <c r="W18" s="96"/>
      <c r="X18" s="96">
        <f t="shared" si="10"/>
        <v>1.2485162320498977</v>
      </c>
      <c r="Y18" s="96">
        <f t="shared" si="11"/>
        <v>14.204525295928786</v>
      </c>
      <c r="Z18" s="96">
        <f t="shared" si="11"/>
        <v>25.78163452137176</v>
      </c>
      <c r="AA18" s="96">
        <f t="shared" si="11"/>
        <v>6.9508407780782209</v>
      </c>
      <c r="AB18" s="96">
        <f t="shared" si="11"/>
        <v>6.0517913571406909</v>
      </c>
      <c r="AC18" s="96">
        <f t="shared" si="11"/>
        <v>20.259227103337349</v>
      </c>
      <c r="AD18" s="96">
        <f t="shared" si="11"/>
        <v>14.724128058701231</v>
      </c>
      <c r="AE18" s="96">
        <f t="shared" si="11"/>
        <v>9.1454785084221495</v>
      </c>
      <c r="AF18" s="96">
        <f t="shared" si="11"/>
        <v>1.6338581449699237</v>
      </c>
      <c r="AG18" s="96">
        <f t="shared" si="11"/>
        <v>100</v>
      </c>
    </row>
    <row r="19" spans="1:33" x14ac:dyDescent="0.2">
      <c r="A19" s="10" t="str">
        <f>name!D15</f>
        <v>41 Administrative occupations</v>
      </c>
      <c r="B19" s="68">
        <f>'Basic T2'!D19</f>
        <v>1.2752417971484493</v>
      </c>
      <c r="C19" s="68">
        <f>'Basic T2'!O19</f>
        <v>16.282504850446021</v>
      </c>
      <c r="D19" s="68">
        <f>'Basic T2'!Z19</f>
        <v>46.598602866245891</v>
      </c>
      <c r="E19" s="68">
        <f>'Basic T2'!AK19</f>
        <v>17.313558133832654</v>
      </c>
      <c r="F19" s="68">
        <f>'Basic T2'!AV19</f>
        <v>16.919832848869135</v>
      </c>
      <c r="G19" s="68">
        <f>'Basic T2'!BG19</f>
        <v>54.676711228294039</v>
      </c>
      <c r="H19" s="68">
        <f>'Basic T2'!BR19</f>
        <v>53.467972975610984</v>
      </c>
      <c r="I19" s="68">
        <f>'Basic T2'!CC19</f>
        <v>28.910001256352519</v>
      </c>
      <c r="J19" s="68">
        <f>'Basic T2'!CN19</f>
        <v>4.8527312036754902</v>
      </c>
      <c r="K19" s="309">
        <f t="shared" si="12"/>
        <v>240.29715716047519</v>
      </c>
      <c r="L19" s="96"/>
      <c r="M19" s="96">
        <f t="shared" si="0"/>
        <v>2.7055214092152848</v>
      </c>
      <c r="N19" s="96">
        <f t="shared" si="1"/>
        <v>4.9648530210938713</v>
      </c>
      <c r="O19" s="96">
        <f t="shared" si="2"/>
        <v>8.1799242827845493</v>
      </c>
      <c r="P19" s="96">
        <f t="shared" si="3"/>
        <v>10.855599002042901</v>
      </c>
      <c r="Q19" s="96">
        <f t="shared" si="4"/>
        <v>10.583993431254651</v>
      </c>
      <c r="R19" s="96">
        <f t="shared" si="5"/>
        <v>8.5264418499716541</v>
      </c>
      <c r="S19" s="96">
        <f t="shared" si="6"/>
        <v>9.6473398785905626</v>
      </c>
      <c r="T19" s="96">
        <f t="shared" si="7"/>
        <v>7.8778169663148407</v>
      </c>
      <c r="U19" s="96">
        <f t="shared" si="8"/>
        <v>4.7109854960748994</v>
      </c>
      <c r="V19" s="96">
        <f t="shared" si="9"/>
        <v>8.2024243403853561</v>
      </c>
      <c r="W19" s="96"/>
      <c r="X19" s="96">
        <f t="shared" si="10"/>
        <v>0.530693667880897</v>
      </c>
      <c r="Y19" s="96">
        <f t="shared" si="11"/>
        <v>6.7759872995801791</v>
      </c>
      <c r="Z19" s="96">
        <f t="shared" si="11"/>
        <v>19.392074137242673</v>
      </c>
      <c r="AA19" s="96">
        <f t="shared" si="11"/>
        <v>7.2050615739371047</v>
      </c>
      <c r="AB19" s="96">
        <f t="shared" si="11"/>
        <v>7.0412122427106922</v>
      </c>
      <c r="AC19" s="96">
        <f t="shared" si="11"/>
        <v>22.753790296312097</v>
      </c>
      <c r="AD19" s="96">
        <f t="shared" si="11"/>
        <v>22.250772172017005</v>
      </c>
      <c r="AE19" s="96">
        <f t="shared" si="11"/>
        <v>12.03093769313544</v>
      </c>
      <c r="AF19" s="96">
        <f t="shared" si="11"/>
        <v>2.0194709171839018</v>
      </c>
      <c r="AG19" s="96">
        <f t="shared" si="11"/>
        <v>100</v>
      </c>
    </row>
    <row r="20" spans="1:33" x14ac:dyDescent="0.2">
      <c r="A20" s="10" t="str">
        <f>name!D16</f>
        <v>42 Secretarial and related occupations</v>
      </c>
      <c r="B20" s="68">
        <f>'Basic T2'!D20</f>
        <v>0.14427914954322413</v>
      </c>
      <c r="C20" s="68">
        <f>'Basic T2'!O20</f>
        <v>2.7891772516098694</v>
      </c>
      <c r="D20" s="68">
        <f>'Basic T2'!Z20</f>
        <v>8.0756080210196064</v>
      </c>
      <c r="E20" s="68">
        <f>'Basic T2'!AK20</f>
        <v>3.7987545985084266</v>
      </c>
      <c r="F20" s="68">
        <f>'Basic T2'!AV20</f>
        <v>3.1668624783568413</v>
      </c>
      <c r="G20" s="68">
        <f>'Basic T2'!BG20</f>
        <v>10.76769372617394</v>
      </c>
      <c r="H20" s="68">
        <f>'Basic T2'!BR20</f>
        <v>11.95206013717636</v>
      </c>
      <c r="I20" s="68">
        <f>'Basic T2'!CC20</f>
        <v>11.373289086129168</v>
      </c>
      <c r="J20" s="68">
        <f>'Basic T2'!CN20</f>
        <v>1.9760183124115434</v>
      </c>
      <c r="K20" s="309">
        <f t="shared" si="12"/>
        <v>54.043742760928978</v>
      </c>
      <c r="L20" s="96"/>
      <c r="M20" s="96">
        <f t="shared" si="0"/>
        <v>0.30609906989045021</v>
      </c>
      <c r="N20" s="96">
        <f t="shared" si="1"/>
        <v>0.85047449586002932</v>
      </c>
      <c r="O20" s="96">
        <f t="shared" si="2"/>
        <v>1.4175931913451756</v>
      </c>
      <c r="P20" s="96">
        <f t="shared" si="3"/>
        <v>2.381818705884073</v>
      </c>
      <c r="Q20" s="96">
        <f t="shared" si="4"/>
        <v>1.9809918908776849</v>
      </c>
      <c r="R20" s="96">
        <f t="shared" si="5"/>
        <v>1.6791447830720463</v>
      </c>
      <c r="S20" s="96">
        <f t="shared" si="6"/>
        <v>2.1565355852425876</v>
      </c>
      <c r="T20" s="96">
        <f t="shared" si="7"/>
        <v>3.0991589703173847</v>
      </c>
      <c r="U20" s="96">
        <f t="shared" si="8"/>
        <v>1.9182998643523648</v>
      </c>
      <c r="V20" s="96">
        <f t="shared" si="9"/>
        <v>1.8447563687644091</v>
      </c>
      <c r="W20" s="96"/>
      <c r="X20" s="96">
        <f t="shared" si="10"/>
        <v>0.26696735305966079</v>
      </c>
      <c r="Y20" s="96">
        <f t="shared" si="11"/>
        <v>5.1609624151092479</v>
      </c>
      <c r="Z20" s="96">
        <f t="shared" si="11"/>
        <v>14.942725297067843</v>
      </c>
      <c r="AA20" s="96">
        <f t="shared" si="11"/>
        <v>7.0290368587401817</v>
      </c>
      <c r="AB20" s="96">
        <f t="shared" si="11"/>
        <v>5.8598133966515924</v>
      </c>
      <c r="AC20" s="96">
        <f t="shared" si="11"/>
        <v>19.92403408070113</v>
      </c>
      <c r="AD20" s="96">
        <f t="shared" si="11"/>
        <v>22.115529988454323</v>
      </c>
      <c r="AE20" s="96">
        <f t="shared" si="11"/>
        <v>21.044599254423783</v>
      </c>
      <c r="AF20" s="96">
        <f t="shared" si="11"/>
        <v>3.6563313557922368</v>
      </c>
      <c r="AG20" s="96">
        <f t="shared" si="11"/>
        <v>100</v>
      </c>
    </row>
    <row r="21" spans="1:33" x14ac:dyDescent="0.2">
      <c r="A21" s="10" t="str">
        <f>name!D17</f>
        <v>51 Skilled agricultural and related trades</v>
      </c>
      <c r="B21" s="68">
        <f>'Basic T2'!D21</f>
        <v>0.1324825405255842</v>
      </c>
      <c r="C21" s="68">
        <f>'Basic T2'!O21</f>
        <v>0.68539260661736134</v>
      </c>
      <c r="D21" s="68">
        <f>'Basic T2'!Z21</f>
        <v>5.5310699511760113</v>
      </c>
      <c r="E21" s="68">
        <f>'Basic T2'!AK21</f>
        <v>2.4619134941675234</v>
      </c>
      <c r="F21" s="68">
        <f>'Basic T2'!AV21</f>
        <v>3.7514462321608986</v>
      </c>
      <c r="G21" s="68">
        <f>'Basic T2'!BG21</f>
        <v>7.1214146420539191</v>
      </c>
      <c r="H21" s="68">
        <f>'Basic T2'!BR21</f>
        <v>9.2869649119970425</v>
      </c>
      <c r="I21" s="68">
        <f>'Basic T2'!CC21</f>
        <v>8.3633018948480196</v>
      </c>
      <c r="J21" s="68">
        <f>'Basic T2'!CN21</f>
        <v>6.0557778924557137</v>
      </c>
      <c r="K21" s="309">
        <f t="shared" si="12"/>
        <v>43.389764166002074</v>
      </c>
      <c r="L21" s="96"/>
      <c r="M21" s="96">
        <f t="shared" si="0"/>
        <v>0.2810716763994795</v>
      </c>
      <c r="N21" s="96">
        <f t="shared" si="1"/>
        <v>0.20898956179376763</v>
      </c>
      <c r="O21" s="96">
        <f t="shared" si="2"/>
        <v>0.97092467628846679</v>
      </c>
      <c r="P21" s="96">
        <f t="shared" si="3"/>
        <v>1.5436194838642769</v>
      </c>
      <c r="Q21" s="96">
        <f t="shared" si="4"/>
        <v>2.3466710713722994</v>
      </c>
      <c r="R21" s="96">
        <f t="shared" si="5"/>
        <v>1.1105336526456617</v>
      </c>
      <c r="S21" s="96">
        <f t="shared" si="6"/>
        <v>1.6756667956619231</v>
      </c>
      <c r="T21" s="96">
        <f t="shared" si="7"/>
        <v>2.2789539501375735</v>
      </c>
      <c r="U21" s="96">
        <f t="shared" si="8"/>
        <v>5.8788918284206799</v>
      </c>
      <c r="V21" s="96">
        <f t="shared" si="9"/>
        <v>1.4810880907805239</v>
      </c>
      <c r="W21" s="96"/>
      <c r="X21" s="96">
        <f t="shared" si="10"/>
        <v>0.30533132196507884</v>
      </c>
      <c r="Y21" s="96">
        <f t="shared" si="11"/>
        <v>1.5796181882786051</v>
      </c>
      <c r="Z21" s="96">
        <f t="shared" si="11"/>
        <v>12.747407268716767</v>
      </c>
      <c r="AA21" s="96">
        <f t="shared" si="11"/>
        <v>5.6739499314830306</v>
      </c>
      <c r="AB21" s="96">
        <f t="shared" si="11"/>
        <v>8.6459244576865757</v>
      </c>
      <c r="AC21" s="96">
        <f t="shared" si="11"/>
        <v>16.412660402597631</v>
      </c>
      <c r="AD21" s="96">
        <f t="shared" si="11"/>
        <v>21.40358467141386</v>
      </c>
      <c r="AE21" s="96">
        <f t="shared" si="11"/>
        <v>19.274826806735817</v>
      </c>
      <c r="AF21" s="96">
        <f t="shared" si="11"/>
        <v>13.956696951122636</v>
      </c>
      <c r="AG21" s="96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8">
        <f>'Basic T2'!D22</f>
        <v>0.11266000774809805</v>
      </c>
      <c r="C22" s="68">
        <f>'Basic T2'!O22</f>
        <v>2.0485063114091733</v>
      </c>
      <c r="D22" s="68">
        <f>'Basic T2'!Z22</f>
        <v>5.1666668317259354</v>
      </c>
      <c r="E22" s="68">
        <f>'Basic T2'!AK22</f>
        <v>1.9661025808189201</v>
      </c>
      <c r="F22" s="68">
        <f>'Basic T2'!AV22</f>
        <v>7.5718208099198874</v>
      </c>
      <c r="G22" s="68">
        <f>'Basic T2'!BG22</f>
        <v>47.005751977717495</v>
      </c>
      <c r="H22" s="68">
        <f>'Basic T2'!BR22</f>
        <v>24.781941869557713</v>
      </c>
      <c r="I22" s="68">
        <f>'Basic T2'!CC22</f>
        <v>12.463072600673964</v>
      </c>
      <c r="J22" s="68">
        <f>'Basic T2'!CN22</f>
        <v>4.2692551503128788</v>
      </c>
      <c r="K22" s="309">
        <f t="shared" si="12"/>
        <v>105.38577813988407</v>
      </c>
      <c r="L22" s="96"/>
      <c r="M22" s="96">
        <f t="shared" si="0"/>
        <v>0.23901668186096731</v>
      </c>
      <c r="N22" s="96">
        <f t="shared" si="1"/>
        <v>0.62462949296472026</v>
      </c>
      <c r="O22" s="96">
        <f t="shared" si="2"/>
        <v>0.90695730941122343</v>
      </c>
      <c r="P22" s="96">
        <f t="shared" si="3"/>
        <v>1.2327460969761477</v>
      </c>
      <c r="Q22" s="96">
        <f t="shared" si="4"/>
        <v>4.736459421949057</v>
      </c>
      <c r="R22" s="96">
        <f t="shared" si="5"/>
        <v>7.3302106481634359</v>
      </c>
      <c r="S22" s="96">
        <f t="shared" si="6"/>
        <v>4.4714583845576445</v>
      </c>
      <c r="T22" s="96">
        <f t="shared" si="7"/>
        <v>3.3961190079308303</v>
      </c>
      <c r="U22" s="96">
        <f t="shared" si="8"/>
        <v>4.1445524691196116</v>
      </c>
      <c r="V22" s="96">
        <f t="shared" si="9"/>
        <v>3.5972912953263112</v>
      </c>
      <c r="W22" s="96"/>
      <c r="X22" s="96">
        <f t="shared" si="10"/>
        <v>0.10690247748473092</v>
      </c>
      <c r="Y22" s="96">
        <f t="shared" si="11"/>
        <v>1.9438166587241814</v>
      </c>
      <c r="Z22" s="96">
        <f t="shared" si="11"/>
        <v>4.9026224628411885</v>
      </c>
      <c r="AA22" s="96">
        <f t="shared" si="11"/>
        <v>1.8656242004582526</v>
      </c>
      <c r="AB22" s="96">
        <f t="shared" si="11"/>
        <v>7.1848601809149359</v>
      </c>
      <c r="AC22" s="96">
        <f t="shared" si="11"/>
        <v>44.603506096737547</v>
      </c>
      <c r="AD22" s="96">
        <f t="shared" si="11"/>
        <v>23.515451806659662</v>
      </c>
      <c r="AE22" s="96">
        <f t="shared" si="11"/>
        <v>11.8261427876265</v>
      </c>
      <c r="AF22" s="96">
        <f t="shared" si="11"/>
        <v>4.0510733285529978</v>
      </c>
      <c r="AG22" s="96">
        <f t="shared" si="11"/>
        <v>100</v>
      </c>
    </row>
    <row r="23" spans="1:33" x14ac:dyDescent="0.2">
      <c r="A23" s="10" t="str">
        <f>name!D19</f>
        <v>53 Skilled construction and building trades</v>
      </c>
      <c r="B23" s="68">
        <f>'Basic T2'!D23</f>
        <v>3.0443821372094691E-2</v>
      </c>
      <c r="C23" s="68">
        <f>'Basic T2'!O23</f>
        <v>0.86789826763912326</v>
      </c>
      <c r="D23" s="68">
        <f>'Basic T2'!Z23</f>
        <v>3.1101757185238696</v>
      </c>
      <c r="E23" s="68">
        <f>'Basic T2'!AK23</f>
        <v>2.0561148375141238</v>
      </c>
      <c r="F23" s="68">
        <f>'Basic T2'!AV23</f>
        <v>3.077789892396583</v>
      </c>
      <c r="G23" s="68">
        <f>'Basic T2'!BG23</f>
        <v>33.713045365852196</v>
      </c>
      <c r="H23" s="68">
        <f>'Basic T2'!BR23</f>
        <v>29.489560777816436</v>
      </c>
      <c r="I23" s="68">
        <f>'Basic T2'!CC23</f>
        <v>14.580282622846859</v>
      </c>
      <c r="J23" s="68">
        <f>'Basic T2'!CN23</f>
        <v>6.868761178237289</v>
      </c>
      <c r="K23" s="309">
        <f t="shared" si="12"/>
        <v>93.794072482198573</v>
      </c>
      <c r="L23" s="96"/>
      <c r="M23" s="96">
        <f t="shared" si="0"/>
        <v>6.4588857332551694E-2</v>
      </c>
      <c r="N23" s="96">
        <f t="shared" si="1"/>
        <v>0.26463909427130949</v>
      </c>
      <c r="O23" s="96">
        <f t="shared" si="2"/>
        <v>0.5459606151005163</v>
      </c>
      <c r="P23" s="96">
        <f t="shared" si="3"/>
        <v>1.2891837717971684</v>
      </c>
      <c r="Q23" s="96">
        <f t="shared" si="4"/>
        <v>1.9252736297619286</v>
      </c>
      <c r="R23" s="96">
        <f t="shared" si="5"/>
        <v>5.2573081745385704</v>
      </c>
      <c r="S23" s="96">
        <f t="shared" si="6"/>
        <v>5.3208640586341147</v>
      </c>
      <c r="T23" s="96">
        <f t="shared" si="7"/>
        <v>3.9730471403798222</v>
      </c>
      <c r="U23" s="96">
        <f t="shared" si="8"/>
        <v>6.6681283031233152</v>
      </c>
      <c r="V23" s="96">
        <f t="shared" si="9"/>
        <v>3.2016141689020241</v>
      </c>
      <c r="W23" s="96"/>
      <c r="X23" s="96">
        <f t="shared" si="10"/>
        <v>3.2458150676710096E-2</v>
      </c>
      <c r="Y23" s="96">
        <f t="shared" si="11"/>
        <v>0.92532315174164537</v>
      </c>
      <c r="Z23" s="96">
        <f t="shared" si="11"/>
        <v>3.3159619112542087</v>
      </c>
      <c r="AA23" s="96">
        <f t="shared" si="11"/>
        <v>2.1921586120533996</v>
      </c>
      <c r="AB23" s="96">
        <f t="shared" si="11"/>
        <v>3.2814332621933278</v>
      </c>
      <c r="AC23" s="96">
        <f t="shared" si="11"/>
        <v>35.943684364756294</v>
      </c>
      <c r="AD23" s="96">
        <f t="shared" si="11"/>
        <v>31.440750995659496</v>
      </c>
      <c r="AE23" s="96">
        <f t="shared" si="11"/>
        <v>15.544993662167819</v>
      </c>
      <c r="AF23" s="96">
        <f t="shared" si="11"/>
        <v>7.3232358894970995</v>
      </c>
      <c r="AG23" s="96">
        <f t="shared" si="11"/>
        <v>100</v>
      </c>
    </row>
    <row r="24" spans="1:33" x14ac:dyDescent="0.2">
      <c r="A24" s="10" t="str">
        <f>name!D20</f>
        <v>54 Textiles, printing and other skilled trades</v>
      </c>
      <c r="B24" s="68">
        <f>'Basic T2'!D24</f>
        <v>0.21808075963690787</v>
      </c>
      <c r="C24" s="68">
        <f>'Basic T2'!O24</f>
        <v>2.2448608159394361</v>
      </c>
      <c r="D24" s="68">
        <f>'Basic T2'!Z24</f>
        <v>4.699482908549018</v>
      </c>
      <c r="E24" s="68">
        <f>'Basic T2'!AK24</f>
        <v>2.2353062882513814</v>
      </c>
      <c r="F24" s="68">
        <f>'Basic T2'!AV24</f>
        <v>2.2682263635235076</v>
      </c>
      <c r="G24" s="68">
        <f>'Basic T2'!BG24</f>
        <v>13.449442700687321</v>
      </c>
      <c r="H24" s="68">
        <f>'Basic T2'!BR24</f>
        <v>14.332610694078696</v>
      </c>
      <c r="I24" s="68">
        <f>'Basic T2'!CC24</f>
        <v>12.016419098663183</v>
      </c>
      <c r="J24" s="68">
        <f>'Basic T2'!CN24</f>
        <v>3.9791405161407041</v>
      </c>
      <c r="K24" s="309">
        <f t="shared" si="12"/>
        <v>55.443570145470154</v>
      </c>
      <c r="L24" s="96"/>
      <c r="M24" s="96">
        <f t="shared" si="0"/>
        <v>0.4626747378065299</v>
      </c>
      <c r="N24" s="96">
        <f t="shared" si="1"/>
        <v>0.68450180769618252</v>
      </c>
      <c r="O24" s="96">
        <f t="shared" si="2"/>
        <v>0.82494778803800695</v>
      </c>
      <c r="P24" s="96">
        <f t="shared" si="3"/>
        <v>1.4015367912494086</v>
      </c>
      <c r="Q24" s="96">
        <f t="shared" si="4"/>
        <v>1.4188611168068348</v>
      </c>
      <c r="R24" s="96">
        <f t="shared" si="5"/>
        <v>2.097344345074541</v>
      </c>
      <c r="S24" s="96">
        <f t="shared" si="6"/>
        <v>2.586063376226559</v>
      </c>
      <c r="T24" s="96">
        <f t="shared" si="7"/>
        <v>3.2744083755097653</v>
      </c>
      <c r="U24" s="96">
        <f t="shared" si="8"/>
        <v>3.8629119297159407</v>
      </c>
      <c r="V24" s="96">
        <f t="shared" si="9"/>
        <v>1.8925387826180635</v>
      </c>
      <c r="W24" s="96"/>
      <c r="X24" s="96">
        <f t="shared" si="10"/>
        <v>0.39333823392815098</v>
      </c>
      <c r="Y24" s="96">
        <f t="shared" ref="Y24:AG32" si="13">IF($K24&gt;0,C24/$K24*100,0)</f>
        <v>4.0489110099682959</v>
      </c>
      <c r="Z24" s="96">
        <f t="shared" si="13"/>
        <v>8.4761549377479533</v>
      </c>
      <c r="AA24" s="96">
        <f t="shared" si="13"/>
        <v>4.0316781231556575</v>
      </c>
      <c r="AB24" s="96">
        <f t="shared" si="13"/>
        <v>4.0910539447085483</v>
      </c>
      <c r="AC24" s="96">
        <f t="shared" si="13"/>
        <v>24.257894405788306</v>
      </c>
      <c r="AD24" s="96">
        <f t="shared" si="13"/>
        <v>25.850807688742783</v>
      </c>
      <c r="AE24" s="96">
        <f t="shared" si="13"/>
        <v>21.673241941554423</v>
      </c>
      <c r="AF24" s="96">
        <f t="shared" si="13"/>
        <v>7.1769197144058872</v>
      </c>
      <c r="AG24" s="96">
        <f t="shared" si="13"/>
        <v>100</v>
      </c>
    </row>
    <row r="25" spans="1:33" x14ac:dyDescent="0.2">
      <c r="A25" s="10" t="str">
        <f>name!D21</f>
        <v>61 Caring personal service occupations</v>
      </c>
      <c r="B25" s="68">
        <f>'Basic T2'!D25</f>
        <v>0.14307695265396403</v>
      </c>
      <c r="C25" s="68">
        <f>'Basic T2'!O25</f>
        <v>8.64233556624181</v>
      </c>
      <c r="D25" s="68">
        <f>'Basic T2'!Z25</f>
        <v>26.105337027792729</v>
      </c>
      <c r="E25" s="68">
        <f>'Basic T2'!AK25</f>
        <v>21.209697456867353</v>
      </c>
      <c r="F25" s="68">
        <f>'Basic T2'!AV25</f>
        <v>13.107625299013602</v>
      </c>
      <c r="G25" s="68">
        <f>'Basic T2'!BG25</f>
        <v>82.603220346705641</v>
      </c>
      <c r="H25" s="68">
        <f>'Basic T2'!BR25</f>
        <v>51.564967301638042</v>
      </c>
      <c r="I25" s="68">
        <f>'Basic T2'!CC25</f>
        <v>8.7433907459060851</v>
      </c>
      <c r="J25" s="68">
        <f>'Basic T2'!CN25</f>
        <v>1.6303003104613485</v>
      </c>
      <c r="K25" s="309">
        <f t="shared" si="12"/>
        <v>213.74995100728057</v>
      </c>
      <c r="L25" s="96"/>
      <c r="M25" s="96">
        <f t="shared" si="0"/>
        <v>0.30354851874849564</v>
      </c>
      <c r="N25" s="96">
        <f t="shared" si="1"/>
        <v>2.635216524697507</v>
      </c>
      <c r="O25" s="96">
        <f t="shared" si="2"/>
        <v>4.582533963021362</v>
      </c>
      <c r="P25" s="96">
        <f t="shared" si="3"/>
        <v>13.298477919248629</v>
      </c>
      <c r="Q25" s="96">
        <f t="shared" si="4"/>
        <v>8.1993138645799082</v>
      </c>
      <c r="R25" s="96">
        <f t="shared" si="5"/>
        <v>12.881381105126067</v>
      </c>
      <c r="S25" s="96">
        <f t="shared" si="6"/>
        <v>9.3039765246800332</v>
      </c>
      <c r="T25" s="96">
        <f t="shared" si="7"/>
        <v>2.3825260798314245</v>
      </c>
      <c r="U25" s="96">
        <f t="shared" si="8"/>
        <v>1.5826801020861598</v>
      </c>
      <c r="V25" s="96">
        <f t="shared" si="9"/>
        <v>7.2962486182365796</v>
      </c>
      <c r="W25" s="96"/>
      <c r="X25" s="96">
        <f t="shared" si="10"/>
        <v>6.6936601379193134E-2</v>
      </c>
      <c r="Y25" s="96">
        <f t="shared" si="13"/>
        <v>4.0431988524514058</v>
      </c>
      <c r="Z25" s="96">
        <f t="shared" si="13"/>
        <v>12.21302597019241</v>
      </c>
      <c r="AA25" s="96">
        <f t="shared" si="13"/>
        <v>9.9226677512290635</v>
      </c>
      <c r="AB25" s="96">
        <f t="shared" si="13"/>
        <v>6.1322237676522979</v>
      </c>
      <c r="AC25" s="96">
        <f t="shared" si="13"/>
        <v>38.644790306357578</v>
      </c>
      <c r="AD25" s="96">
        <f t="shared" si="13"/>
        <v>24.123966840058682</v>
      </c>
      <c r="AE25" s="96">
        <f t="shared" si="13"/>
        <v>4.0904761403235481</v>
      </c>
      <c r="AF25" s="96">
        <f t="shared" si="13"/>
        <v>0.76271377035582044</v>
      </c>
      <c r="AG25" s="96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8">
        <f>'Basic T2'!D26</f>
        <v>0.14467467952272042</v>
      </c>
      <c r="C26" s="68">
        <f>'Basic T2'!O26</f>
        <v>1.5520141444941518</v>
      </c>
      <c r="D26" s="68">
        <f>'Basic T2'!Z26</f>
        <v>6.2640532515437037</v>
      </c>
      <c r="E26" s="68">
        <f>'Basic T2'!AK26</f>
        <v>4.0236131855596415</v>
      </c>
      <c r="F26" s="68">
        <f>'Basic T2'!AV26</f>
        <v>4.6915795596940768</v>
      </c>
      <c r="G26" s="68">
        <f>'Basic T2'!BG26</f>
        <v>14.923156443814495</v>
      </c>
      <c r="H26" s="68">
        <f>'Basic T2'!BR26</f>
        <v>15.125472124909484</v>
      </c>
      <c r="I26" s="68">
        <f>'Basic T2'!CC26</f>
        <v>11.375271679361537</v>
      </c>
      <c r="J26" s="68">
        <f>'Basic T2'!CN26</f>
        <v>2.638060696877635</v>
      </c>
      <c r="K26" s="309">
        <f t="shared" si="12"/>
        <v>60.737895765777452</v>
      </c>
      <c r="L26" s="96"/>
      <c r="M26" s="96">
        <f t="shared" si="0"/>
        <v>0.30693821649771058</v>
      </c>
      <c r="N26" s="96">
        <f t="shared" si="1"/>
        <v>0.47323935628129937</v>
      </c>
      <c r="O26" s="96">
        <f t="shared" si="2"/>
        <v>1.0995926519091763</v>
      </c>
      <c r="P26" s="96">
        <f t="shared" si="3"/>
        <v>2.5228050146673611</v>
      </c>
      <c r="Q26" s="96">
        <f t="shared" si="4"/>
        <v>2.9347599166932383</v>
      </c>
      <c r="R26" s="96">
        <f t="shared" si="5"/>
        <v>2.3271594574322045</v>
      </c>
      <c r="S26" s="96">
        <f t="shared" si="6"/>
        <v>2.7291210474672334</v>
      </c>
      <c r="T26" s="96">
        <f t="shared" si="7"/>
        <v>3.0996992161120756</v>
      </c>
      <c r="U26" s="96">
        <f t="shared" si="8"/>
        <v>2.5610043415021284</v>
      </c>
      <c r="V26" s="96">
        <f t="shared" si="9"/>
        <v>2.0732579631822077</v>
      </c>
      <c r="W26" s="96"/>
      <c r="X26" s="96">
        <f t="shared" si="10"/>
        <v>0.23819508018622673</v>
      </c>
      <c r="Y26" s="96">
        <f t="shared" si="13"/>
        <v>2.5552649213913474</v>
      </c>
      <c r="Z26" s="96">
        <f t="shared" si="13"/>
        <v>10.313253649253291</v>
      </c>
      <c r="AA26" s="96">
        <f t="shared" si="13"/>
        <v>6.6245515008880691</v>
      </c>
      <c r="AB26" s="96">
        <f t="shared" si="13"/>
        <v>7.7243037489908071</v>
      </c>
      <c r="AC26" s="96">
        <f t="shared" si="13"/>
        <v>24.569762017048497</v>
      </c>
      <c r="AD26" s="96">
        <f t="shared" si="13"/>
        <v>24.902858313099276</v>
      </c>
      <c r="AE26" s="96">
        <f t="shared" si="13"/>
        <v>18.728458626930063</v>
      </c>
      <c r="AF26" s="96">
        <f t="shared" si="13"/>
        <v>4.3433521422124084</v>
      </c>
      <c r="AG26" s="96">
        <f t="shared" si="13"/>
        <v>100</v>
      </c>
    </row>
    <row r="27" spans="1:33" x14ac:dyDescent="0.2">
      <c r="A27" s="10" t="str">
        <f>name!D23</f>
        <v>63 Community and civil enforcement occupations</v>
      </c>
      <c r="B27" s="68">
        <f>'Basic T2'!D27</f>
        <v>4.9191502953850131E-3</v>
      </c>
      <c r="C27" s="68">
        <f>'Basic T2'!O27</f>
        <v>9.8008783883451231E-2</v>
      </c>
      <c r="D27" s="68">
        <f>'Basic T2'!Z27</f>
        <v>0.35978988549557461</v>
      </c>
      <c r="E27" s="68">
        <f>'Basic T2'!AK27</f>
        <v>0.12067613847199793</v>
      </c>
      <c r="F27" s="68">
        <f>'Basic T2'!AV27</f>
        <v>0.11002619996101484</v>
      </c>
      <c r="G27" s="68">
        <f>'Basic T2'!BG27</f>
        <v>0.46399018753413701</v>
      </c>
      <c r="H27" s="68">
        <f>'Basic T2'!BR27</f>
        <v>0.67042170461611927</v>
      </c>
      <c r="I27" s="68">
        <f>'Basic T2'!CC27</f>
        <v>0.60461858331216967</v>
      </c>
      <c r="J27" s="68">
        <f>'Basic T2'!CN27</f>
        <v>0.16503494613474909</v>
      </c>
      <c r="K27" s="309">
        <f t="shared" si="12"/>
        <v>2.5974855797045984</v>
      </c>
      <c r="L27" s="96"/>
      <c r="M27" s="96">
        <f t="shared" si="0"/>
        <v>1.0436347419816085E-2</v>
      </c>
      <c r="N27" s="96">
        <f t="shared" si="1"/>
        <v>2.9884788073265025E-2</v>
      </c>
      <c r="O27" s="96">
        <f t="shared" si="2"/>
        <v>6.3157559240844777E-2</v>
      </c>
      <c r="P27" s="96">
        <f t="shared" si="3"/>
        <v>7.5663925245215785E-2</v>
      </c>
      <c r="Q27" s="96">
        <f t="shared" si="4"/>
        <v>6.8825536756477138E-2</v>
      </c>
      <c r="R27" s="96">
        <f t="shared" si="5"/>
        <v>7.2355949436110553E-2</v>
      </c>
      <c r="S27" s="96">
        <f t="shared" si="6"/>
        <v>0.12096561149542705</v>
      </c>
      <c r="T27" s="96">
        <f t="shared" si="7"/>
        <v>0.1647552517044337</v>
      </c>
      <c r="U27" s="96">
        <f t="shared" si="8"/>
        <v>0.16021436278964699</v>
      </c>
      <c r="V27" s="96">
        <f t="shared" si="9"/>
        <v>8.8663882646520906E-2</v>
      </c>
      <c r="W27" s="96"/>
      <c r="X27" s="96">
        <f t="shared" si="10"/>
        <v>0.18938123598531961</v>
      </c>
      <c r="Y27" s="96">
        <f t="shared" si="13"/>
        <v>3.7732176320531248</v>
      </c>
      <c r="Z27" s="96">
        <f t="shared" si="13"/>
        <v>13.851468062297851</v>
      </c>
      <c r="AA27" s="96">
        <f t="shared" si="13"/>
        <v>4.6458829036395244</v>
      </c>
      <c r="AB27" s="96">
        <f t="shared" si="13"/>
        <v>4.2358733700276288</v>
      </c>
      <c r="AC27" s="96">
        <f t="shared" si="13"/>
        <v>17.863051527966704</v>
      </c>
      <c r="AD27" s="96">
        <f t="shared" si="13"/>
        <v>25.810411031901232</v>
      </c>
      <c r="AE27" s="96">
        <f t="shared" si="13"/>
        <v>23.277071797292923</v>
      </c>
      <c r="AF27" s="96">
        <f t="shared" si="13"/>
        <v>6.3536424388357089</v>
      </c>
      <c r="AG27" s="96">
        <f t="shared" si="13"/>
        <v>100</v>
      </c>
    </row>
    <row r="28" spans="1:33" x14ac:dyDescent="0.2">
      <c r="A28" s="10" t="str">
        <f>name!D24</f>
        <v>71 Sales occupations</v>
      </c>
      <c r="B28" s="68">
        <f>'Basic T2'!D28</f>
        <v>0.44411499533203957</v>
      </c>
      <c r="C28" s="68">
        <f>'Basic T2'!O28</f>
        <v>6.8180648941250563</v>
      </c>
      <c r="D28" s="68">
        <f>'Basic T2'!Z28</f>
        <v>25.287990193844276</v>
      </c>
      <c r="E28" s="68">
        <f>'Basic T2'!AK28</f>
        <v>9.0189490531101661</v>
      </c>
      <c r="F28" s="68">
        <f>'Basic T2'!AV28</f>
        <v>6.831386372257513</v>
      </c>
      <c r="G28" s="68">
        <f>'Basic T2'!BG28</f>
        <v>57.267545962241584</v>
      </c>
      <c r="H28" s="68">
        <f>'Basic T2'!BR28</f>
        <v>51.399027447717486</v>
      </c>
      <c r="I28" s="68">
        <f>'Basic T2'!CC28</f>
        <v>37.874963105930128</v>
      </c>
      <c r="J28" s="68">
        <f>'Basic T2'!CN28</f>
        <v>10.774424360070633</v>
      </c>
      <c r="K28" s="309">
        <f t="shared" si="12"/>
        <v>205.71646638462889</v>
      </c>
      <c r="L28" s="96"/>
      <c r="M28" s="96">
        <f t="shared" si="0"/>
        <v>0.94222337341136175</v>
      </c>
      <c r="N28" s="96">
        <f t="shared" si="1"/>
        <v>2.0789608477643777</v>
      </c>
      <c r="O28" s="96">
        <f t="shared" si="2"/>
        <v>4.4390568026939876</v>
      </c>
      <c r="P28" s="96">
        <f t="shared" si="3"/>
        <v>5.6548800416188794</v>
      </c>
      <c r="Q28" s="96">
        <f t="shared" si="4"/>
        <v>4.2732897621484822</v>
      </c>
      <c r="R28" s="96">
        <f t="shared" si="5"/>
        <v>8.93046398673944</v>
      </c>
      <c r="S28" s="96">
        <f t="shared" si="6"/>
        <v>9.2740356445403371</v>
      </c>
      <c r="T28" s="96">
        <f t="shared" si="7"/>
        <v>10.320719958076184</v>
      </c>
      <c r="U28" s="96">
        <f t="shared" si="8"/>
        <v>10.45970913254051</v>
      </c>
      <c r="V28" s="96">
        <f t="shared" si="9"/>
        <v>7.0220296029739728</v>
      </c>
      <c r="W28" s="96"/>
      <c r="X28" s="96">
        <f t="shared" si="10"/>
        <v>0.21588694533653716</v>
      </c>
      <c r="Y28" s="96">
        <f t="shared" si="13"/>
        <v>3.3143019681162977</v>
      </c>
      <c r="Z28" s="96">
        <f t="shared" si="13"/>
        <v>12.29264270297314</v>
      </c>
      <c r="AA28" s="96">
        <f t="shared" si="13"/>
        <v>4.3841648710061945</v>
      </c>
      <c r="AB28" s="96">
        <f t="shared" si="13"/>
        <v>3.3207776180079058</v>
      </c>
      <c r="AC28" s="96">
        <f t="shared" si="13"/>
        <v>27.838095301116162</v>
      </c>
      <c r="AD28" s="96">
        <f t="shared" si="13"/>
        <v>24.985373485667658</v>
      </c>
      <c r="AE28" s="96">
        <f t="shared" si="13"/>
        <v>18.41124523066382</v>
      </c>
      <c r="AF28" s="96">
        <f t="shared" si="13"/>
        <v>5.2375118771122819</v>
      </c>
      <c r="AG28" s="96">
        <f t="shared" si="13"/>
        <v>100</v>
      </c>
    </row>
    <row r="29" spans="1:33" x14ac:dyDescent="0.2">
      <c r="A29" s="10" t="str">
        <f>name!D25</f>
        <v>72 Customer service occupations</v>
      </c>
      <c r="B29" s="68">
        <f>'Basic T2'!D29</f>
        <v>0.18245189562159847</v>
      </c>
      <c r="C29" s="68">
        <f>'Basic T2'!O29</f>
        <v>2.0293653533429628</v>
      </c>
      <c r="D29" s="68">
        <f>'Basic T2'!Z29</f>
        <v>8.282541147310889</v>
      </c>
      <c r="E29" s="68">
        <f>'Basic T2'!AK29</f>
        <v>2.4922806931802599</v>
      </c>
      <c r="F29" s="68">
        <f>'Basic T2'!AV29</f>
        <v>2.8056028838814364</v>
      </c>
      <c r="G29" s="68">
        <f>'Basic T2'!BG29</f>
        <v>12.78631478585338</v>
      </c>
      <c r="H29" s="68">
        <f>'Basic T2'!BR29</f>
        <v>11.736829741670455</v>
      </c>
      <c r="I29" s="68">
        <f>'Basic T2'!CC29</f>
        <v>5.8339123484472513</v>
      </c>
      <c r="J29" s="68">
        <f>'Basic T2'!CN29</f>
        <v>1.5637841563036559</v>
      </c>
      <c r="K29" s="309">
        <f t="shared" si="12"/>
        <v>47.713083005611885</v>
      </c>
      <c r="L29" s="96"/>
      <c r="M29" s="96">
        <f t="shared" si="0"/>
        <v>0.38708542243513411</v>
      </c>
      <c r="N29" s="96">
        <f t="shared" si="1"/>
        <v>0.6187930418563361</v>
      </c>
      <c r="O29" s="96">
        <f t="shared" si="2"/>
        <v>1.4539182569168025</v>
      </c>
      <c r="P29" s="96">
        <f t="shared" si="3"/>
        <v>1.5626597142287864</v>
      </c>
      <c r="Q29" s="96">
        <f t="shared" si="4"/>
        <v>1.7550103927708074</v>
      </c>
      <c r="R29" s="96">
        <f t="shared" si="5"/>
        <v>1.9939342920939098</v>
      </c>
      <c r="S29" s="96">
        <f t="shared" si="6"/>
        <v>2.1177011080388963</v>
      </c>
      <c r="T29" s="96">
        <f t="shared" si="7"/>
        <v>1.5897091553564964</v>
      </c>
      <c r="U29" s="96">
        <f t="shared" si="8"/>
        <v>1.5181068495527754</v>
      </c>
      <c r="V29" s="96">
        <f t="shared" si="9"/>
        <v>1.6286624362297299</v>
      </c>
      <c r="W29" s="96"/>
      <c r="X29" s="96">
        <f t="shared" si="10"/>
        <v>0.3823938511794322</v>
      </c>
      <c r="Y29" s="96">
        <f t="shared" si="13"/>
        <v>4.2532681300520325</v>
      </c>
      <c r="Z29" s="96">
        <f t="shared" si="13"/>
        <v>17.359056731539898</v>
      </c>
      <c r="AA29" s="96">
        <f t="shared" si="13"/>
        <v>5.2234744354858069</v>
      </c>
      <c r="AB29" s="96">
        <f t="shared" si="13"/>
        <v>5.8801542619902571</v>
      </c>
      <c r="AC29" s="96">
        <f t="shared" si="13"/>
        <v>26.798341210417043</v>
      </c>
      <c r="AD29" s="96">
        <f t="shared" si="13"/>
        <v>24.598766213220806</v>
      </c>
      <c r="AE29" s="96">
        <f t="shared" si="13"/>
        <v>12.227070608204215</v>
      </c>
      <c r="AF29" s="96">
        <f t="shared" si="13"/>
        <v>3.2774745579105162</v>
      </c>
      <c r="AG29" s="96">
        <f t="shared" si="13"/>
        <v>100</v>
      </c>
    </row>
    <row r="30" spans="1:33" x14ac:dyDescent="0.2">
      <c r="A30" s="10" t="str">
        <f>name!D26</f>
        <v>81 Process, plant and machine operatives</v>
      </c>
      <c r="B30" s="68">
        <f>'Basic T2'!D30</f>
        <v>0.12292534402157536</v>
      </c>
      <c r="C30" s="68">
        <f>'Basic T2'!O30</f>
        <v>0.97380592788862397</v>
      </c>
      <c r="D30" s="68">
        <f>'Basic T2'!Z30</f>
        <v>2.4054012299721714</v>
      </c>
      <c r="E30" s="68">
        <f>'Basic T2'!AK30</f>
        <v>1.0387382000741596</v>
      </c>
      <c r="F30" s="68">
        <f>'Basic T2'!AV30</f>
        <v>2.3220541501784528</v>
      </c>
      <c r="G30" s="68">
        <f>'Basic T2'!BG30</f>
        <v>16.58380861586198</v>
      </c>
      <c r="H30" s="68">
        <f>'Basic T2'!BR30</f>
        <v>18.684829232865479</v>
      </c>
      <c r="I30" s="68">
        <f>'Basic T2'!CC30</f>
        <v>15.034959874432277</v>
      </c>
      <c r="J30" s="68">
        <f>'Basic T2'!CN30</f>
        <v>5.4155961803253421</v>
      </c>
      <c r="K30" s="309">
        <f t="shared" si="12"/>
        <v>62.582118755620066</v>
      </c>
      <c r="L30" s="96"/>
      <c r="M30" s="96">
        <f t="shared" si="0"/>
        <v>0.26079536502739908</v>
      </c>
      <c r="N30" s="96">
        <f t="shared" si="1"/>
        <v>0.29693240367157125</v>
      </c>
      <c r="O30" s="96">
        <f t="shared" si="2"/>
        <v>0.42224441765702964</v>
      </c>
      <c r="P30" s="96">
        <f t="shared" si="3"/>
        <v>0.65128873458275804</v>
      </c>
      <c r="Q30" s="96">
        <f t="shared" si="4"/>
        <v>1.4525324270061548</v>
      </c>
      <c r="R30" s="96">
        <f t="shared" si="5"/>
        <v>2.5861262800501819</v>
      </c>
      <c r="S30" s="96">
        <f t="shared" si="6"/>
        <v>3.3713434071103014</v>
      </c>
      <c r="T30" s="96">
        <f t="shared" si="7"/>
        <v>4.0969442006039181</v>
      </c>
      <c r="U30" s="96">
        <f t="shared" si="8"/>
        <v>5.257409484948961</v>
      </c>
      <c r="V30" s="96">
        <f t="shared" si="9"/>
        <v>2.1362096007285523</v>
      </c>
      <c r="W30" s="96"/>
      <c r="X30" s="96">
        <f t="shared" si="10"/>
        <v>0.19642247093230011</v>
      </c>
      <c r="Y30" s="96">
        <f t="shared" si="13"/>
        <v>1.5560449969603709</v>
      </c>
      <c r="Z30" s="96">
        <f t="shared" si="13"/>
        <v>3.8435918722489069</v>
      </c>
      <c r="AA30" s="96">
        <f t="shared" si="13"/>
        <v>1.6598003083442707</v>
      </c>
      <c r="AB30" s="96">
        <f t="shared" si="13"/>
        <v>3.7104115302422946</v>
      </c>
      <c r="AC30" s="96">
        <f t="shared" si="13"/>
        <v>26.49927638375571</v>
      </c>
      <c r="AD30" s="96">
        <f t="shared" si="13"/>
        <v>29.856498316761641</v>
      </c>
      <c r="AE30" s="96">
        <f t="shared" si="13"/>
        <v>24.024370176955845</v>
      </c>
      <c r="AF30" s="96">
        <f t="shared" si="13"/>
        <v>8.653583943798651</v>
      </c>
      <c r="AG30" s="96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8">
        <f>'Basic T2'!D31</f>
        <v>0.18687788550138937</v>
      </c>
      <c r="C31" s="68">
        <f>'Basic T2'!O31</f>
        <v>1.6105694169877729</v>
      </c>
      <c r="D31" s="68">
        <f>'Basic T2'!Z31</f>
        <v>4.1621785696618074</v>
      </c>
      <c r="E31" s="68">
        <f>'Basic T2'!AK31</f>
        <v>1.9548097982234314</v>
      </c>
      <c r="F31" s="68">
        <f>'Basic T2'!AV31</f>
        <v>2.8054597625870832</v>
      </c>
      <c r="G31" s="68">
        <f>'Basic T2'!BG31</f>
        <v>17.851821933247567</v>
      </c>
      <c r="H31" s="68">
        <f>'Basic T2'!BR31</f>
        <v>24.668566540490769</v>
      </c>
      <c r="I31" s="68">
        <f>'Basic T2'!CC31</f>
        <v>19.768443475801615</v>
      </c>
      <c r="J31" s="68">
        <f>'Basic T2'!CN31</f>
        <v>9.1449158708958826</v>
      </c>
      <c r="K31" s="309">
        <f t="shared" si="12"/>
        <v>82.15364325339732</v>
      </c>
      <c r="L31" s="96"/>
      <c r="M31" s="96">
        <f t="shared" si="0"/>
        <v>0.39647549293276113</v>
      </c>
      <c r="N31" s="96">
        <f t="shared" si="1"/>
        <v>0.4910939999132935</v>
      </c>
      <c r="O31" s="96">
        <f t="shared" si="2"/>
        <v>0.73062932056110697</v>
      </c>
      <c r="P31" s="96">
        <f t="shared" si="3"/>
        <v>1.2256655235592762</v>
      </c>
      <c r="Q31" s="96">
        <f t="shared" si="4"/>
        <v>1.7549208650046149</v>
      </c>
      <c r="R31" s="96">
        <f t="shared" si="5"/>
        <v>2.7838638830039431</v>
      </c>
      <c r="S31" s="96">
        <f t="shared" si="6"/>
        <v>4.451001833233831</v>
      </c>
      <c r="T31" s="96">
        <f t="shared" si="7"/>
        <v>5.3867925507988756</v>
      </c>
      <c r="U31" s="96">
        <f t="shared" si="8"/>
        <v>8.877797723060656</v>
      </c>
      <c r="V31" s="96">
        <f t="shared" si="9"/>
        <v>2.8042738875307829</v>
      </c>
      <c r="W31" s="96"/>
      <c r="X31" s="96">
        <f t="shared" si="10"/>
        <v>0.22747364340857928</v>
      </c>
      <c r="Y31" s="96">
        <f t="shared" si="13"/>
        <v>1.9604357800908245</v>
      </c>
      <c r="Z31" s="96">
        <f t="shared" si="13"/>
        <v>5.0663347416302056</v>
      </c>
      <c r="AA31" s="96">
        <f t="shared" si="13"/>
        <v>2.3794560056137177</v>
      </c>
      <c r="AB31" s="96">
        <f t="shared" si="13"/>
        <v>3.4148939127797826</v>
      </c>
      <c r="AC31" s="96">
        <f t="shared" si="13"/>
        <v>21.729799466330224</v>
      </c>
      <c r="AD31" s="96">
        <f t="shared" si="13"/>
        <v>30.027355529933413</v>
      </c>
      <c r="AE31" s="96">
        <f t="shared" si="13"/>
        <v>24.062771525332355</v>
      </c>
      <c r="AF31" s="96">
        <f t="shared" si="13"/>
        <v>11.131479394880897</v>
      </c>
      <c r="AG31" s="96">
        <f t="shared" si="13"/>
        <v>100</v>
      </c>
    </row>
    <row r="32" spans="1:33" x14ac:dyDescent="0.2">
      <c r="A32" s="10" t="str">
        <f>name!D28</f>
        <v>91 Elementary trades and related occupations</v>
      </c>
      <c r="B32" s="68">
        <f>'Basic T2'!D32</f>
        <v>1.720546421118019E-3</v>
      </c>
      <c r="C32" s="68">
        <f>'Basic T2'!O32</f>
        <v>0.7206088360825198</v>
      </c>
      <c r="D32" s="68">
        <f>'Basic T2'!Z32</f>
        <v>2.0953348485392773</v>
      </c>
      <c r="E32" s="68">
        <f>'Basic T2'!AK32</f>
        <v>1.3410515894011621</v>
      </c>
      <c r="F32" s="68">
        <f>'Basic T2'!AV32</f>
        <v>1.5980700232440241</v>
      </c>
      <c r="G32" s="68">
        <f>'Basic T2'!BG32</f>
        <v>7.7076000425256597</v>
      </c>
      <c r="H32" s="68">
        <f>'Basic T2'!BR32</f>
        <v>9.9814619038649539</v>
      </c>
      <c r="I32" s="68">
        <f>'Basic T2'!CC32</f>
        <v>11.877575250830571</v>
      </c>
      <c r="J32" s="68">
        <f>'Basic T2'!CN32</f>
        <v>5.8462927561012847</v>
      </c>
      <c r="K32" s="309">
        <f t="shared" si="12"/>
        <v>41.169715797010575</v>
      </c>
      <c r="L32" s="96"/>
      <c r="M32" s="96">
        <f t="shared" si="0"/>
        <v>3.6502686692770452E-3</v>
      </c>
      <c r="N32" s="96">
        <f t="shared" si="1"/>
        <v>0.21972767640558899</v>
      </c>
      <c r="O32" s="96">
        <f t="shared" si="2"/>
        <v>0.36781532822621171</v>
      </c>
      <c r="P32" s="96">
        <f t="shared" si="3"/>
        <v>0.84083919567887555</v>
      </c>
      <c r="Q32" s="96">
        <f t="shared" si="4"/>
        <v>0.99965305684625561</v>
      </c>
      <c r="R32" s="96">
        <f t="shared" si="5"/>
        <v>1.2019450711114865</v>
      </c>
      <c r="S32" s="96">
        <f t="shared" si="6"/>
        <v>1.800976362348969</v>
      </c>
      <c r="T32" s="96">
        <f t="shared" si="7"/>
        <v>3.2365741875958558</v>
      </c>
      <c r="U32" s="96">
        <f t="shared" si="8"/>
        <v>5.6755256419190419</v>
      </c>
      <c r="V32" s="96">
        <f t="shared" si="9"/>
        <v>1.4053078402198074</v>
      </c>
      <c r="W32" s="96"/>
      <c r="X32" s="96">
        <f t="shared" si="10"/>
        <v>4.1791554491200835E-3</v>
      </c>
      <c r="Y32" s="96">
        <f t="shared" si="13"/>
        <v>1.7503371644232841</v>
      </c>
      <c r="Z32" s="96">
        <f t="shared" si="13"/>
        <v>5.0895052539843482</v>
      </c>
      <c r="AA32" s="96">
        <f t="shared" si="13"/>
        <v>3.2573739299374487</v>
      </c>
      <c r="AB32" s="96">
        <f t="shared" si="13"/>
        <v>3.8816639665996031</v>
      </c>
      <c r="AC32" s="96">
        <f t="shared" si="13"/>
        <v>18.721528417947752</v>
      </c>
      <c r="AD32" s="96">
        <f t="shared" si="13"/>
        <v>24.244670410354715</v>
      </c>
      <c r="AE32" s="96">
        <f t="shared" si="13"/>
        <v>28.85027263582186</v>
      </c>
      <c r="AF32" s="96">
        <f t="shared" si="13"/>
        <v>14.200469065481858</v>
      </c>
      <c r="AG32" s="96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8">
        <f>'Basic T2'!D33</f>
        <v>0.17595983537684168</v>
      </c>
      <c r="C33" s="68">
        <f>'Basic T2'!O33</f>
        <v>6.3499737298212722</v>
      </c>
      <c r="D33" s="68">
        <f>'Basic T2'!Z33</f>
        <v>20.647866284682429</v>
      </c>
      <c r="E33" s="68">
        <f>'Basic T2'!AK33</f>
        <v>9.7634387282904438</v>
      </c>
      <c r="F33" s="68">
        <f>'Basic T2'!AV33</f>
        <v>8.9477121619563267</v>
      </c>
      <c r="G33" s="68">
        <f>'Basic T2'!BG33</f>
        <v>50.118329807174973</v>
      </c>
      <c r="H33" s="68">
        <f>'Basic T2'!BR33</f>
        <v>73.969081185066997</v>
      </c>
      <c r="I33" s="68">
        <f>'Basic T2'!CC33</f>
        <v>66.539274878523642</v>
      </c>
      <c r="J33" s="68">
        <f>'Basic T2'!CN33</f>
        <v>18.615703007130563</v>
      </c>
      <c r="K33" s="309">
        <f>SUM(B33:J33)</f>
        <v>255.12733961802348</v>
      </c>
      <c r="L33" s="96"/>
      <c r="M33" s="96">
        <f t="shared" si="0"/>
        <v>0.37331202822755682</v>
      </c>
      <c r="N33" s="96">
        <f t="shared" si="1"/>
        <v>1.936230730218776</v>
      </c>
      <c r="O33" s="96">
        <f t="shared" si="2"/>
        <v>3.6245289004599099</v>
      </c>
      <c r="P33" s="96">
        <f t="shared" si="3"/>
        <v>6.1216749841977443</v>
      </c>
      <c r="Q33" s="96">
        <f t="shared" si="4"/>
        <v>5.5971313424194209</v>
      </c>
      <c r="R33" s="96">
        <f t="shared" si="5"/>
        <v>7.8155948870868395</v>
      </c>
      <c r="S33" s="96">
        <f t="shared" si="6"/>
        <v>13.34639835747851</v>
      </c>
      <c r="T33" s="96">
        <f t="shared" si="7"/>
        <v>18.131587886013641</v>
      </c>
      <c r="U33" s="96">
        <f t="shared" si="8"/>
        <v>18.07194818443822</v>
      </c>
      <c r="V33" s="96">
        <f t="shared" si="9"/>
        <v>8.7086452670062826</v>
      </c>
      <c r="W33" s="96"/>
      <c r="X33" s="96">
        <f>IF($K33&gt;0,B33/$K33*100,0)</f>
        <v>6.8969415680925711E-2</v>
      </c>
      <c r="Y33" s="96">
        <f t="shared" ref="Y33" si="14">IF($K33&gt;0,C33/$K33*100,0)</f>
        <v>2.4889428703832563</v>
      </c>
      <c r="Z33" s="96">
        <f t="shared" ref="Z33" si="15">IF($K33&gt;0,D33/$K33*100,0)</f>
        <v>8.0931609742791206</v>
      </c>
      <c r="AA33" s="96">
        <f t="shared" ref="AA33" si="16">IF($K33&gt;0,E33/$K33*100,0)</f>
        <v>3.8268884639757772</v>
      </c>
      <c r="AB33" s="96">
        <f t="shared" ref="AB33" si="17">IF($K33&gt;0,F33/$K33*100,0)</f>
        <v>3.5071553583213921</v>
      </c>
      <c r="AC33" s="96">
        <f t="shared" ref="AC33" si="18">IF($K33&gt;0,G33/$K33*100,0)</f>
        <v>19.644437119993533</v>
      </c>
      <c r="AD33" s="96">
        <f t="shared" ref="AD33" si="19">IF($K33&gt;0,H33/$K33*100,0)</f>
        <v>28.993004550517192</v>
      </c>
      <c r="AE33" s="96">
        <f t="shared" ref="AE33" si="20">IF($K33&gt;0,I33/$K33*100,0)</f>
        <v>26.080809284550298</v>
      </c>
      <c r="AF33" s="96">
        <f>IF($K33&gt;0,J33/$K33*100,0)</f>
        <v>7.2966319622985072</v>
      </c>
      <c r="AG33" s="96">
        <f t="shared" ref="AG33" si="21">IF($K33&gt;0,K33/$K33*100,0)</f>
        <v>100</v>
      </c>
    </row>
    <row r="34" spans="1:33" x14ac:dyDescent="0.2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2">
      <c r="A35" s="107" t="str">
        <f>name!D3</f>
        <v>All occupations</v>
      </c>
      <c r="B35" s="310">
        <f>SUM(B8:B33)</f>
        <v>47.134788614307183</v>
      </c>
      <c r="C35" s="310">
        <f t="shared" ref="C35:K35" si="22">SUM(C8:C33)</f>
        <v>327.95542549331321</v>
      </c>
      <c r="D35" s="310">
        <f t="shared" si="22"/>
        <v>569.67034480156747</v>
      </c>
      <c r="E35" s="310">
        <f t="shared" si="22"/>
        <v>159.48966179180383</v>
      </c>
      <c r="F35" s="310">
        <f t="shared" si="22"/>
        <v>159.86246551235263</v>
      </c>
      <c r="G35" s="310">
        <f t="shared" si="22"/>
        <v>641.26058900496469</v>
      </c>
      <c r="H35" s="310">
        <f t="shared" si="22"/>
        <v>554.22503662659847</v>
      </c>
      <c r="I35" s="310">
        <f t="shared" si="22"/>
        <v>366.97985469794827</v>
      </c>
      <c r="J35" s="310">
        <f t="shared" si="22"/>
        <v>103.00883345360945</v>
      </c>
      <c r="K35" s="310">
        <f t="shared" si="22"/>
        <v>2929.5869999964652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1.6089226438526678</v>
      </c>
      <c r="Y35" s="97">
        <f t="shared" ref="Y35:AG35" si="24">IF($K35&gt;0,C35/$K35*100,0)</f>
        <v>11.19459587626887</v>
      </c>
      <c r="Z35" s="97">
        <f t="shared" si="24"/>
        <v>19.445414824760444</v>
      </c>
      <c r="AA35" s="97">
        <f t="shared" si="24"/>
        <v>5.444100543591853</v>
      </c>
      <c r="AB35" s="97">
        <f t="shared" si="24"/>
        <v>5.4568260137877971</v>
      </c>
      <c r="AC35" s="97">
        <f t="shared" si="24"/>
        <v>21.889112322171638</v>
      </c>
      <c r="AD35" s="97">
        <f t="shared" si="24"/>
        <v>18.918196886703388</v>
      </c>
      <c r="AE35" s="97">
        <f t="shared" si="24"/>
        <v>12.526675422112096</v>
      </c>
      <c r="AF35" s="97">
        <f t="shared" si="24"/>
        <v>3.5161554667512434</v>
      </c>
      <c r="AG35" s="97">
        <f t="shared" si="24"/>
        <v>100</v>
      </c>
    </row>
    <row r="37" spans="1:33" x14ac:dyDescent="0.2">
      <c r="A37" s="90" t="str">
        <f ca="1">CELL("filename")</f>
        <v>M:\IE\Projects\Nuffield via NFER AI and automation\Data\Results\Workbooks\SW\[SW_MainTables.Main.xlsm]Manager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0" customWidth="1"/>
    <col min="2" max="2" width="5.7109375" style="90" customWidth="1"/>
    <col min="3" max="3" width="11.7109375" style="90" customWidth="1"/>
    <col min="4" max="4" width="7.85546875" style="90" customWidth="1"/>
    <col min="5" max="5" width="9.85546875" style="90" customWidth="1"/>
    <col min="6" max="6" width="10" style="90" customWidth="1"/>
    <col min="7" max="7" width="2.7109375" style="90" customWidth="1"/>
    <col min="8" max="8" width="5.7109375" style="90" customWidth="1"/>
    <col min="9" max="9" width="10.7109375" style="90" customWidth="1"/>
    <col min="10" max="12" width="8.7109375" style="90" customWidth="1"/>
    <col min="13" max="13" width="2.7109375" style="90" customWidth="1"/>
    <col min="14" max="14" width="5.7109375" style="90" customWidth="1"/>
    <col min="15" max="15" width="10.7109375" style="90" customWidth="1"/>
    <col min="16" max="18" width="8.7109375" style="90" customWidth="1"/>
    <col min="19" max="19" width="2.7109375" style="90" customWidth="1"/>
    <col min="20" max="20" width="5.7109375" style="90" customWidth="1"/>
    <col min="21" max="21" width="10.7109375" style="90" customWidth="1"/>
    <col min="22" max="24" width="8.7109375" style="90" customWidth="1"/>
    <col min="25" max="25" width="33.7109375" style="90" customWidth="1"/>
    <col min="26" max="26" width="5.7109375" style="90" customWidth="1"/>
    <col min="27" max="27" width="11.7109375" style="90" customWidth="1"/>
    <col min="28" max="28" width="7.42578125" style="90" customWidth="1"/>
    <col min="29" max="30" width="8.7109375" style="90" customWidth="1"/>
    <col min="31" max="31" width="2.7109375" style="90" customWidth="1"/>
    <col min="32" max="32" width="5.7109375" style="90" customWidth="1"/>
    <col min="33" max="33" width="10.7109375" style="90" customWidth="1"/>
    <col min="34" max="36" width="8.7109375" style="90" customWidth="1"/>
    <col min="37" max="37" width="2.7109375" style="90" customWidth="1"/>
    <col min="38" max="38" width="5.7109375" style="90" customWidth="1"/>
    <col min="39" max="39" width="10.7109375" style="90" customWidth="1"/>
    <col min="40" max="42" width="8.7109375" style="90" customWidth="1"/>
    <col min="43" max="43" width="2.7109375" style="90" customWidth="1"/>
    <col min="44" max="44" width="5.7109375" style="90" customWidth="1"/>
    <col min="45" max="45" width="10.7109375" style="90" customWidth="1"/>
    <col min="46" max="48" width="8.7109375" style="90" customWidth="1"/>
    <col min="49" max="49" width="33.7109375" style="90" customWidth="1"/>
    <col min="50" max="50" width="5.7109375" style="90" customWidth="1"/>
    <col min="51" max="51" width="11.7109375" style="90" customWidth="1"/>
    <col min="52" max="52" width="7.42578125" style="90" customWidth="1"/>
    <col min="53" max="54" width="8.7109375" style="90" customWidth="1"/>
    <col min="55" max="55" width="2.7109375" style="90" customWidth="1"/>
    <col min="56" max="56" width="5.7109375" style="90" customWidth="1"/>
    <col min="57" max="57" width="10.7109375" style="90" customWidth="1"/>
    <col min="58" max="60" width="8.7109375" style="90" customWidth="1"/>
    <col min="61" max="61" width="2.7109375" style="90" customWidth="1"/>
    <col min="62" max="62" width="5.7109375" style="90" customWidth="1"/>
    <col min="63" max="63" width="10.7109375" style="90" customWidth="1"/>
    <col min="64" max="66" width="8.7109375" style="90" customWidth="1"/>
    <col min="67" max="67" width="2.7109375" style="90" customWidth="1"/>
    <col min="68" max="68" width="5.7109375" style="90" customWidth="1"/>
    <col min="69" max="69" width="10.7109375" style="90" customWidth="1"/>
    <col min="70" max="72" width="8.7109375" style="90" customWidth="1"/>
    <col min="73" max="73" width="33.7109375" style="90" customWidth="1"/>
    <col min="74" max="74" width="5.7109375" style="90" customWidth="1"/>
    <col min="75" max="75" width="11.7109375" style="90" customWidth="1"/>
    <col min="76" max="76" width="7.42578125" style="90" customWidth="1"/>
    <col min="77" max="78" width="8.7109375" style="90" customWidth="1"/>
    <col min="79" max="79" width="2.7109375" style="90" customWidth="1"/>
    <col min="80" max="80" width="5.7109375" style="90" customWidth="1"/>
    <col min="81" max="81" width="10.7109375" style="90" customWidth="1"/>
    <col min="82" max="84" width="8.7109375" style="90" customWidth="1"/>
    <col min="85" max="85" width="2.7109375" style="90" customWidth="1"/>
    <col min="86" max="86" width="5.7109375" style="90" customWidth="1"/>
    <col min="87" max="87" width="10.7109375" style="90" customWidth="1"/>
    <col min="88" max="90" width="8.7109375" style="90" customWidth="1"/>
    <col min="91" max="91" width="2.7109375" style="90" customWidth="1"/>
    <col min="92" max="92" width="5.7109375" style="90" customWidth="1"/>
    <col min="93" max="93" width="10.7109375" style="90" customWidth="1"/>
    <col min="94" max="96" width="8.7109375" style="90" customWidth="1"/>
    <col min="97" max="97" width="33.7109375" style="90" customWidth="1"/>
    <col min="98" max="98" width="5.7109375" style="90" customWidth="1"/>
    <col min="99" max="99" width="11.7109375" style="90" customWidth="1"/>
    <col min="100" max="100" width="7.42578125" style="90" customWidth="1"/>
    <col min="101" max="102" width="8.7109375" style="90" customWidth="1"/>
    <col min="103" max="103" width="2.7109375" style="90" customWidth="1"/>
    <col min="104" max="104" width="5.7109375" style="90" customWidth="1"/>
    <col min="105" max="105" width="10.7109375" style="90" customWidth="1"/>
    <col min="106" max="108" width="8.7109375" style="90" customWidth="1"/>
    <col min="109" max="109" width="2.7109375" style="90" customWidth="1"/>
    <col min="110" max="110" width="5.7109375" style="90" customWidth="1"/>
    <col min="111" max="111" width="10.7109375" style="90" customWidth="1"/>
    <col min="112" max="114" width="8.7109375" style="90" customWidth="1"/>
    <col min="115" max="115" width="2.7109375" style="90" customWidth="1"/>
    <col min="116" max="116" width="5.7109375" style="90" customWidth="1"/>
    <col min="117" max="117" width="10.7109375" style="90" customWidth="1"/>
    <col min="118" max="120" width="8.7109375" style="90" customWidth="1"/>
    <col min="121" max="16384" width="9.140625" style="90"/>
  </cols>
  <sheetData>
    <row r="1" spans="1:120" ht="15.75" x14ac:dyDescent="0.2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8"/>
      <c r="Y2" s="18"/>
      <c r="AW2" s="18"/>
      <c r="BU2" s="18"/>
      <c r="CS2" s="18"/>
    </row>
    <row r="3" spans="1:120" x14ac:dyDescent="0.2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2">
      <c r="A4" s="95"/>
      <c r="B4" s="381" t="str">
        <f>name!F3</f>
        <v>All qualifications</v>
      </c>
      <c r="C4" s="381"/>
      <c r="D4" s="381"/>
      <c r="E4" s="381"/>
      <c r="F4" s="381"/>
      <c r="G4" s="102"/>
      <c r="H4" s="381" t="str">
        <f>name!F4</f>
        <v>RQF8 Doctorate</v>
      </c>
      <c r="I4" s="381"/>
      <c r="J4" s="381"/>
      <c r="K4" s="381"/>
      <c r="L4" s="381"/>
      <c r="N4" s="382" t="str">
        <f>name!F5</f>
        <v>RQF7 Other higher degree</v>
      </c>
      <c r="O4" s="382"/>
      <c r="P4" s="382"/>
      <c r="Q4" s="382"/>
      <c r="R4" s="382"/>
      <c r="S4" s="110"/>
      <c r="T4" s="382" t="str">
        <f>name!F6</f>
        <v>RQF6 First degree</v>
      </c>
      <c r="U4" s="382"/>
      <c r="V4" s="382"/>
      <c r="W4" s="382"/>
      <c r="X4" s="382"/>
      <c r="Y4" s="95"/>
      <c r="Z4" s="381" t="str">
        <f>$B$4</f>
        <v>All qualifications</v>
      </c>
      <c r="AA4" s="381"/>
      <c r="AB4" s="381"/>
      <c r="AC4" s="381"/>
      <c r="AD4" s="381"/>
      <c r="AE4" s="102"/>
      <c r="AF4" s="381" t="str">
        <f>$H$4</f>
        <v>RQF8 Doctorate</v>
      </c>
      <c r="AG4" s="381"/>
      <c r="AH4" s="381"/>
      <c r="AI4" s="381"/>
      <c r="AJ4" s="381"/>
      <c r="AL4" s="382" t="str">
        <f>$N$4</f>
        <v>RQF7 Other higher degree</v>
      </c>
      <c r="AM4" s="382"/>
      <c r="AN4" s="382"/>
      <c r="AO4" s="382"/>
      <c r="AP4" s="382"/>
      <c r="AQ4" s="110"/>
      <c r="AR4" s="382" t="str">
        <f>$T$4</f>
        <v>RQF6 First degree</v>
      </c>
      <c r="AS4" s="382"/>
      <c r="AT4" s="382"/>
      <c r="AU4" s="382"/>
      <c r="AV4" s="382"/>
      <c r="AW4" s="95"/>
      <c r="AX4" s="381" t="str">
        <f>$B$4</f>
        <v>All qualifications</v>
      </c>
      <c r="AY4" s="381"/>
      <c r="AZ4" s="381"/>
      <c r="BA4" s="381"/>
      <c r="BB4" s="381"/>
      <c r="BC4" s="102"/>
      <c r="BD4" s="381" t="str">
        <f>$H$4</f>
        <v>RQF8 Doctorate</v>
      </c>
      <c r="BE4" s="381"/>
      <c r="BF4" s="381"/>
      <c r="BG4" s="381"/>
      <c r="BH4" s="381"/>
      <c r="BJ4" s="382" t="str">
        <f>$N$4</f>
        <v>RQF7 Other higher degree</v>
      </c>
      <c r="BK4" s="382"/>
      <c r="BL4" s="382"/>
      <c r="BM4" s="382"/>
      <c r="BN4" s="382"/>
      <c r="BO4" s="110"/>
      <c r="BP4" s="382" t="str">
        <f>$T$4</f>
        <v>RQF6 First degree</v>
      </c>
      <c r="BQ4" s="382"/>
      <c r="BR4" s="382"/>
      <c r="BS4" s="382"/>
      <c r="BT4" s="382"/>
      <c r="BU4" s="95"/>
      <c r="BV4" s="381" t="str">
        <f>$B$4</f>
        <v>All qualifications</v>
      </c>
      <c r="BW4" s="381"/>
      <c r="BX4" s="381"/>
      <c r="BY4" s="381"/>
      <c r="BZ4" s="381"/>
      <c r="CA4" s="102"/>
      <c r="CB4" s="381" t="str">
        <f>$H$4</f>
        <v>RQF8 Doctorate</v>
      </c>
      <c r="CC4" s="381"/>
      <c r="CD4" s="381"/>
      <c r="CE4" s="381"/>
      <c r="CF4" s="381"/>
      <c r="CH4" s="382" t="str">
        <f>$N$4</f>
        <v>RQF7 Other higher degree</v>
      </c>
      <c r="CI4" s="382"/>
      <c r="CJ4" s="382"/>
      <c r="CK4" s="382"/>
      <c r="CL4" s="382"/>
      <c r="CM4" s="110"/>
      <c r="CN4" s="382" t="str">
        <f>$T$4</f>
        <v>RQF6 First degree</v>
      </c>
      <c r="CO4" s="382"/>
      <c r="CP4" s="382"/>
      <c r="CQ4" s="382"/>
      <c r="CR4" s="382"/>
      <c r="CS4" s="95"/>
      <c r="CT4" s="381" t="str">
        <f>$B$4</f>
        <v>All qualifications</v>
      </c>
      <c r="CU4" s="381"/>
      <c r="CV4" s="381"/>
      <c r="CW4" s="381"/>
      <c r="CX4" s="381"/>
      <c r="CY4" s="102"/>
      <c r="CZ4" s="381" t="str">
        <f>$H$4</f>
        <v>RQF8 Doctorate</v>
      </c>
      <c r="DA4" s="381"/>
      <c r="DB4" s="381"/>
      <c r="DC4" s="381"/>
      <c r="DD4" s="381"/>
      <c r="DF4" s="382" t="str">
        <f>$N$4</f>
        <v>RQF7 Other higher degree</v>
      </c>
      <c r="DG4" s="382"/>
      <c r="DH4" s="382"/>
      <c r="DI4" s="382"/>
      <c r="DJ4" s="382"/>
      <c r="DK4" s="110"/>
      <c r="DL4" s="382" t="str">
        <f>$T$4</f>
        <v>RQF6 First degree</v>
      </c>
      <c r="DM4" s="382"/>
      <c r="DN4" s="382"/>
      <c r="DO4" s="382"/>
      <c r="DP4" s="382"/>
    </row>
    <row r="6" spans="1:120" s="101" customFormat="1" ht="38.25" x14ac:dyDescent="0.2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2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2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2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2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2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2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2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2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2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2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2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2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2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2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2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2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2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2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2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2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2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2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2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2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2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2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2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2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2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2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2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2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2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2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2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2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2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2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2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2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2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2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2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2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2">
      <c r="A52" s="90" t="str">
        <f ca="1">CELL("filename")</f>
        <v>M:\IE\Projects\Nuffield via NFER AI and automation\Data\Results\Workbooks\SW\[SW_MainTables.Main.xlsm]Manager</v>
      </c>
      <c r="B52" s="93"/>
      <c r="C52" s="93"/>
      <c r="D52" s="93"/>
      <c r="E52" s="93"/>
      <c r="F52" s="93"/>
      <c r="G52" s="93"/>
      <c r="Y52" s="90" t="str">
        <f ca="1">CELL("filename")</f>
        <v>M:\IE\Projects\Nuffield via NFER AI and automation\Data\Results\Workbooks\SW\[SW_MainTables.Main.xlsm]Manager</v>
      </c>
      <c r="Z52" s="93"/>
      <c r="AA52" s="93"/>
      <c r="AB52" s="93"/>
      <c r="AC52" s="93"/>
      <c r="AD52" s="93"/>
      <c r="AE52" s="93"/>
      <c r="AW52" s="90" t="str">
        <f ca="1">CELL("filename")</f>
        <v>M:\IE\Projects\Nuffield via NFER AI and automation\Data\Results\Workbooks\SW\[SW_MainTables.Main.xlsm]Manager</v>
      </c>
      <c r="AX52" s="93"/>
      <c r="AY52" s="93"/>
      <c r="AZ52" s="93"/>
      <c r="BA52" s="93"/>
      <c r="BB52" s="93"/>
      <c r="BC52" s="93"/>
      <c r="BU52" s="90" t="str">
        <f ca="1">CELL("filename")</f>
        <v>M:\IE\Projects\Nuffield via NFER AI and automation\Data\Results\Workbooks\SW\[SW_MainTables.Main.xlsm]Manager</v>
      </c>
      <c r="BV52" s="93"/>
      <c r="BW52" s="93"/>
      <c r="BX52" s="93"/>
      <c r="BY52" s="93"/>
      <c r="BZ52" s="93"/>
      <c r="CA52" s="93"/>
      <c r="CS52" s="90" t="str">
        <f ca="1">CELL("filename")</f>
        <v>M:\IE\Projects\Nuffield via NFER AI and automation\Data\Results\Workbooks\SW\[SW_MainTables.Main.xlsm]Manager</v>
      </c>
      <c r="CT52" s="93"/>
      <c r="CU52" s="93"/>
      <c r="CV52" s="93"/>
      <c r="CW52" s="93"/>
      <c r="CX52" s="93"/>
      <c r="CY52" s="93"/>
    </row>
    <row r="53" spans="1:120" ht="15.75" x14ac:dyDescent="0.2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2">
      <c r="B56" s="381" t="str">
        <f>B4</f>
        <v>All qualifications</v>
      </c>
      <c r="C56" s="381"/>
      <c r="D56" s="381"/>
      <c r="E56" s="381"/>
      <c r="F56" s="381"/>
      <c r="G56" s="113"/>
      <c r="H56" s="381" t="str">
        <f>H4</f>
        <v>RQF8 Doctorate</v>
      </c>
      <c r="I56" s="381"/>
      <c r="J56" s="381"/>
      <c r="K56" s="381"/>
      <c r="L56" s="381"/>
      <c r="M56" s="113"/>
      <c r="N56" s="382" t="str">
        <f>N4</f>
        <v>RQF7 Other higher degree</v>
      </c>
      <c r="O56" s="382"/>
      <c r="P56" s="382"/>
      <c r="Q56" s="382"/>
      <c r="R56" s="382"/>
      <c r="S56" s="110"/>
      <c r="T56" s="382" t="str">
        <f>T4</f>
        <v>RQF6 First degree</v>
      </c>
      <c r="U56" s="382"/>
      <c r="V56" s="382"/>
      <c r="W56" s="382"/>
      <c r="X56" s="382"/>
      <c r="Z56" s="381" t="str">
        <f>Z4</f>
        <v>All qualifications</v>
      </c>
      <c r="AA56" s="381"/>
      <c r="AB56" s="381"/>
      <c r="AC56" s="381"/>
      <c r="AD56" s="381"/>
      <c r="AE56" s="113"/>
      <c r="AF56" s="381" t="str">
        <f>AF4</f>
        <v>RQF8 Doctorate</v>
      </c>
      <c r="AG56" s="381"/>
      <c r="AH56" s="381"/>
      <c r="AI56" s="381"/>
      <c r="AJ56" s="381"/>
      <c r="AK56" s="113"/>
      <c r="AL56" s="382" t="str">
        <f>AL4</f>
        <v>RQF7 Other higher degree</v>
      </c>
      <c r="AM56" s="382"/>
      <c r="AN56" s="382"/>
      <c r="AO56" s="382"/>
      <c r="AP56" s="382"/>
      <c r="AQ56" s="110"/>
      <c r="AR56" s="382" t="str">
        <f>AR4</f>
        <v>RQF6 First degree</v>
      </c>
      <c r="AS56" s="382"/>
      <c r="AT56" s="382"/>
      <c r="AU56" s="382"/>
      <c r="AV56" s="382"/>
      <c r="AX56" s="381" t="str">
        <f>AX4</f>
        <v>All qualifications</v>
      </c>
      <c r="AY56" s="381"/>
      <c r="AZ56" s="381"/>
      <c r="BA56" s="381"/>
      <c r="BB56" s="381"/>
      <c r="BC56" s="113"/>
      <c r="BD56" s="381" t="str">
        <f>BD4</f>
        <v>RQF8 Doctorate</v>
      </c>
      <c r="BE56" s="381"/>
      <c r="BF56" s="381"/>
      <c r="BG56" s="381"/>
      <c r="BH56" s="381"/>
      <c r="BI56" s="113"/>
      <c r="BJ56" s="382" t="str">
        <f>BJ4</f>
        <v>RQF7 Other higher degree</v>
      </c>
      <c r="BK56" s="382"/>
      <c r="BL56" s="382"/>
      <c r="BM56" s="382"/>
      <c r="BN56" s="382"/>
      <c r="BO56" s="110"/>
      <c r="BP56" s="382" t="str">
        <f>BP4</f>
        <v>RQF6 First degree</v>
      </c>
      <c r="BQ56" s="382"/>
      <c r="BR56" s="382"/>
      <c r="BS56" s="382"/>
      <c r="BT56" s="382"/>
      <c r="BV56" s="381" t="str">
        <f>BV4</f>
        <v>All qualifications</v>
      </c>
      <c r="BW56" s="381"/>
      <c r="BX56" s="381"/>
      <c r="BY56" s="381"/>
      <c r="BZ56" s="381"/>
      <c r="CA56" s="113"/>
      <c r="CB56" s="381" t="str">
        <f>CB4</f>
        <v>RQF8 Doctorate</v>
      </c>
      <c r="CC56" s="381"/>
      <c r="CD56" s="381"/>
      <c r="CE56" s="381"/>
      <c r="CF56" s="381"/>
      <c r="CG56" s="113"/>
      <c r="CH56" s="382" t="str">
        <f>CH4</f>
        <v>RQF7 Other higher degree</v>
      </c>
      <c r="CI56" s="382"/>
      <c r="CJ56" s="382"/>
      <c r="CK56" s="382"/>
      <c r="CL56" s="382"/>
      <c r="CM56" s="110"/>
      <c r="CN56" s="382" t="str">
        <f>CN4</f>
        <v>RQF6 First degree</v>
      </c>
      <c r="CO56" s="382"/>
      <c r="CP56" s="382"/>
      <c r="CQ56" s="382"/>
      <c r="CR56" s="382"/>
      <c r="CT56" s="381" t="str">
        <f>CT4</f>
        <v>All qualifications</v>
      </c>
      <c r="CU56" s="381"/>
      <c r="CV56" s="381"/>
      <c r="CW56" s="381"/>
      <c r="CX56" s="381"/>
      <c r="CY56" s="113"/>
      <c r="CZ56" s="381" t="str">
        <f>CZ4</f>
        <v>RQF8 Doctorate</v>
      </c>
      <c r="DA56" s="381"/>
      <c r="DB56" s="381"/>
      <c r="DC56" s="381"/>
      <c r="DD56" s="381"/>
      <c r="DE56" s="113"/>
      <c r="DF56" s="382" t="str">
        <f>DF4</f>
        <v>RQF7 Other higher degree</v>
      </c>
      <c r="DG56" s="382"/>
      <c r="DH56" s="382"/>
      <c r="DI56" s="382"/>
      <c r="DJ56" s="382"/>
      <c r="DK56" s="110"/>
      <c r="DL56" s="382" t="str">
        <f>DL4</f>
        <v>RQF6 First degree</v>
      </c>
      <c r="DM56" s="382"/>
      <c r="DN56" s="382"/>
      <c r="DO56" s="382"/>
      <c r="DP56" s="382"/>
    </row>
    <row r="58" spans="1:120" ht="38.25" x14ac:dyDescent="0.2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2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2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2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2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2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2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2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2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2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2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2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2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2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2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2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2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2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2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2">
      <c r="A79" s="90" t="str">
        <f ca="1">CELL("filename")</f>
        <v>M:\IE\Projects\Nuffield via NFER AI and automation\Data\Results\Workbooks\SW\[SW_MainTables.Main.xlsm]Manager</v>
      </c>
      <c r="Y79" s="90" t="str">
        <f ca="1">CELL("filename")</f>
        <v>M:\IE\Projects\Nuffield via NFER AI and automation\Data\Results\Workbooks\SW\[SW_MainTables.Main.xlsm]Manager</v>
      </c>
      <c r="AW79" s="90" t="str">
        <f ca="1">CELL("filename")</f>
        <v>M:\IE\Projects\Nuffield via NFER AI and automation\Data\Results\Workbooks\SW\[SW_MainTables.Main.xlsm]Manager</v>
      </c>
      <c r="BU79" s="90" t="str">
        <f ca="1">CELL("filename")</f>
        <v>M:\IE\Projects\Nuffield via NFER AI and automation\Data\Results\Workbooks\SW\[SW_MainTables.Main.xlsm]Manager</v>
      </c>
      <c r="CS79" s="90" t="str">
        <f ca="1">CELL("filename")</f>
        <v>M:\IE\Projects\Nuffield via NFER AI and automation\Data\Results\Workbooks\SW\[SW_MainTables.Main.xlsm]Manager</v>
      </c>
    </row>
    <row r="80" spans="1:120" ht="15.75" x14ac:dyDescent="0.2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2">
      <c r="B83" s="381" t="str">
        <f>B4</f>
        <v>All qualifications</v>
      </c>
      <c r="C83" s="381"/>
      <c r="D83" s="381"/>
      <c r="E83" s="381"/>
      <c r="F83" s="381"/>
      <c r="G83" s="113"/>
      <c r="H83" s="381" t="str">
        <f>H4</f>
        <v>RQF8 Doctorate</v>
      </c>
      <c r="I83" s="381"/>
      <c r="J83" s="381"/>
      <c r="K83" s="381"/>
      <c r="L83" s="381"/>
      <c r="M83" s="113"/>
      <c r="N83" s="382" t="str">
        <f>N4</f>
        <v>RQF7 Other higher degree</v>
      </c>
      <c r="O83" s="382"/>
      <c r="P83" s="382"/>
      <c r="Q83" s="382"/>
      <c r="R83" s="382"/>
      <c r="S83" s="110"/>
      <c r="T83" s="382" t="str">
        <f>T4</f>
        <v>RQF6 First degree</v>
      </c>
      <c r="U83" s="382"/>
      <c r="V83" s="382"/>
      <c r="W83" s="382"/>
      <c r="X83" s="382"/>
      <c r="Z83" s="381" t="str">
        <f>Z4</f>
        <v>All qualifications</v>
      </c>
      <c r="AA83" s="381"/>
      <c r="AB83" s="381"/>
      <c r="AC83" s="381"/>
      <c r="AD83" s="381"/>
      <c r="AE83" s="113"/>
      <c r="AF83" s="381" t="str">
        <f>AF4</f>
        <v>RQF8 Doctorate</v>
      </c>
      <c r="AG83" s="381"/>
      <c r="AH83" s="381"/>
      <c r="AI83" s="381"/>
      <c r="AJ83" s="381"/>
      <c r="AK83" s="113"/>
      <c r="AL83" s="382" t="str">
        <f>AL4</f>
        <v>RQF7 Other higher degree</v>
      </c>
      <c r="AM83" s="382"/>
      <c r="AN83" s="382"/>
      <c r="AO83" s="382"/>
      <c r="AP83" s="382"/>
      <c r="AQ83" s="110"/>
      <c r="AR83" s="382" t="str">
        <f>AR4</f>
        <v>RQF6 First degree</v>
      </c>
      <c r="AS83" s="382"/>
      <c r="AT83" s="382"/>
      <c r="AU83" s="382"/>
      <c r="AV83" s="382"/>
      <c r="AX83" s="381" t="str">
        <f>AX4</f>
        <v>All qualifications</v>
      </c>
      <c r="AY83" s="381"/>
      <c r="AZ83" s="381"/>
      <c r="BA83" s="381"/>
      <c r="BB83" s="381"/>
      <c r="BC83" s="113"/>
      <c r="BD83" s="381" t="str">
        <f>BD4</f>
        <v>RQF8 Doctorate</v>
      </c>
      <c r="BE83" s="381"/>
      <c r="BF83" s="381"/>
      <c r="BG83" s="381"/>
      <c r="BH83" s="381"/>
      <c r="BI83" s="113"/>
      <c r="BJ83" s="382" t="str">
        <f>BJ4</f>
        <v>RQF7 Other higher degree</v>
      </c>
      <c r="BK83" s="382"/>
      <c r="BL83" s="382"/>
      <c r="BM83" s="382"/>
      <c r="BN83" s="382"/>
      <c r="BO83" s="110"/>
      <c r="BP83" s="382" t="str">
        <f>BP4</f>
        <v>RQF6 First degree</v>
      </c>
      <c r="BQ83" s="382"/>
      <c r="BR83" s="382"/>
      <c r="BS83" s="382"/>
      <c r="BT83" s="382"/>
      <c r="BV83" s="381" t="str">
        <f>BV4</f>
        <v>All qualifications</v>
      </c>
      <c r="BW83" s="381"/>
      <c r="BX83" s="381"/>
      <c r="BY83" s="381"/>
      <c r="BZ83" s="381"/>
      <c r="CA83" s="113"/>
      <c r="CB83" s="381" t="str">
        <f>CB4</f>
        <v>RQF8 Doctorate</v>
      </c>
      <c r="CC83" s="381"/>
      <c r="CD83" s="381"/>
      <c r="CE83" s="381"/>
      <c r="CF83" s="381"/>
      <c r="CG83" s="113"/>
      <c r="CH83" s="382" t="str">
        <f>CH4</f>
        <v>RQF7 Other higher degree</v>
      </c>
      <c r="CI83" s="382"/>
      <c r="CJ83" s="382"/>
      <c r="CK83" s="382"/>
      <c r="CL83" s="382"/>
      <c r="CM83" s="110"/>
      <c r="CN83" s="382" t="str">
        <f>CN4</f>
        <v>RQF6 First degree</v>
      </c>
      <c r="CO83" s="382"/>
      <c r="CP83" s="382"/>
      <c r="CQ83" s="382"/>
      <c r="CR83" s="382"/>
      <c r="CT83" s="381" t="str">
        <f>CT4</f>
        <v>All qualifications</v>
      </c>
      <c r="CU83" s="381"/>
      <c r="CV83" s="381"/>
      <c r="CW83" s="381"/>
      <c r="CX83" s="381"/>
      <c r="CY83" s="113"/>
      <c r="CZ83" s="381" t="str">
        <f>CZ4</f>
        <v>RQF8 Doctorate</v>
      </c>
      <c r="DA83" s="381"/>
      <c r="DB83" s="381"/>
      <c r="DC83" s="381"/>
      <c r="DD83" s="381"/>
      <c r="DE83" s="113"/>
      <c r="DF83" s="382" t="str">
        <f>DF4</f>
        <v>RQF7 Other higher degree</v>
      </c>
      <c r="DG83" s="382"/>
      <c r="DH83" s="382"/>
      <c r="DI83" s="382"/>
      <c r="DJ83" s="382"/>
      <c r="DK83" s="110"/>
      <c r="DL83" s="382" t="str">
        <f>DL4</f>
        <v>RQF6 First degree</v>
      </c>
      <c r="DM83" s="382"/>
      <c r="DN83" s="382"/>
      <c r="DO83" s="382"/>
      <c r="DP83" s="382"/>
    </row>
    <row r="85" spans="1:120" ht="38.25" x14ac:dyDescent="0.2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2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2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2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2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2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2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2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2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2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2">
      <c r="A96" s="90" t="str">
        <f ca="1">CELL("filename")</f>
        <v>M:\IE\Projects\Nuffield via NFER AI and automation\Data\Results\Workbooks\SW\[SW_MainTables.Main.xlsm]Manager</v>
      </c>
      <c r="Y96" s="90" t="str">
        <f ca="1">CELL("filename")</f>
        <v>M:\IE\Projects\Nuffield via NFER AI and automation\Data\Results\Workbooks\SW\[SW_MainTables.Main.xlsm]Manager</v>
      </c>
      <c r="AW96" s="90" t="str">
        <f ca="1">CELL("filename")</f>
        <v>M:\IE\Projects\Nuffield via NFER AI and automation\Data\Results\Workbooks\SW\[SW_MainTables.Main.xlsm]Manager</v>
      </c>
      <c r="BU96" s="90" t="str">
        <f ca="1">CELL("filename")</f>
        <v>M:\IE\Projects\Nuffield via NFER AI and automation\Data\Results\Workbooks\SW\[SW_MainTables.Main.xlsm]Manager</v>
      </c>
      <c r="CS96" s="90" t="str">
        <f ca="1">CELL("filename")</f>
        <v>M:\IE\Projects\Nuffield via NFER AI and automation\Data\Results\Workbooks\SW\[SW_MainTables.Main.xlsm]Manager</v>
      </c>
    </row>
    <row r="99" spans="1:1" x14ac:dyDescent="0.2">
      <c r="A99" s="90" t="s">
        <v>45</v>
      </c>
    </row>
    <row r="100" spans="1:1" x14ac:dyDescent="0.2">
      <c r="A100" s="90">
        <v>2015</v>
      </c>
    </row>
    <row r="101" spans="1:1" x14ac:dyDescent="0.2">
      <c r="A101" s="90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9.7109375" style="129" customWidth="1"/>
    <col min="4" max="4" width="10.140625" style="129" customWidth="1"/>
    <col min="5" max="5" width="13" style="129" customWidth="1"/>
    <col min="6" max="6" width="9.710937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4" width="11.42578125" style="129" customWidth="1"/>
    <col min="15" max="15" width="10.140625" style="129" customWidth="1"/>
    <col min="16" max="16" width="3.7109375" style="129" customWidth="1"/>
    <col min="17" max="18" width="10.140625" style="129" customWidth="1"/>
    <col min="19" max="19" width="2.42578125" style="129" customWidth="1"/>
    <col min="20" max="22" width="13" style="129" customWidth="1"/>
    <col min="23" max="23" width="23.28515625" style="129" customWidth="1"/>
    <col min="24" max="24" width="9.140625" style="129"/>
    <col min="25" max="25" width="12.28515625" style="129" customWidth="1"/>
    <col min="26" max="26" width="10.85546875" style="129" customWidth="1"/>
    <col min="27" max="27" width="8.140625" style="129" customWidth="1"/>
    <col min="28" max="28" width="8" style="129" customWidth="1"/>
    <col min="29" max="16384" width="9.140625" style="129"/>
  </cols>
  <sheetData>
    <row r="1" spans="1:32" ht="12.75" customHeight="1" x14ac:dyDescent="0.2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4" t="s">
        <v>53</v>
      </c>
      <c r="L2" s="384"/>
      <c r="M2" s="384"/>
      <c r="N2" s="384"/>
      <c r="O2" s="384"/>
      <c r="P2" s="384"/>
      <c r="Q2" s="384"/>
      <c r="R2" s="384"/>
      <c r="S2" s="191"/>
      <c r="T2" s="191"/>
      <c r="U2" s="128"/>
    </row>
    <row r="3" spans="1:32" ht="12.75" customHeight="1" x14ac:dyDescent="0.2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5" t="s">
        <v>56</v>
      </c>
      <c r="L3" s="385"/>
      <c r="M3" s="127"/>
      <c r="N3" s="386" t="s">
        <v>69</v>
      </c>
      <c r="O3" s="386"/>
      <c r="P3" s="127"/>
      <c r="Q3" s="386" t="s">
        <v>68</v>
      </c>
      <c r="R3" s="386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2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2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2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2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2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2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2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2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2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2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2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2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2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2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2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2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2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2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2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2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2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2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2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2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2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2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2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2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2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2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2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2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2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2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2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2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2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2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2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2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2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2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2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2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2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2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2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2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2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2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2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2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2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2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2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2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2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2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2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2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2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2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2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2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2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2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2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2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2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2">
      <c r="A75" s="169" t="s">
        <v>73</v>
      </c>
      <c r="B75" s="170"/>
      <c r="C75" s="170"/>
      <c r="D75" s="170"/>
      <c r="E75" s="170"/>
    </row>
    <row r="76" spans="1:21" x14ac:dyDescent="0.2">
      <c r="A76" s="383" t="s">
        <v>74</v>
      </c>
      <c r="B76" s="383"/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</row>
    <row r="77" spans="1:21" x14ac:dyDescent="0.2">
      <c r="A77" s="383" t="s">
        <v>75</v>
      </c>
      <c r="B77" s="383"/>
      <c r="C77" s="383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83"/>
      <c r="Q77" s="383"/>
      <c r="R77" s="383"/>
    </row>
    <row r="78" spans="1:21" x14ac:dyDescent="0.2">
      <c r="A78" s="383" t="s">
        <v>76</v>
      </c>
      <c r="B78" s="383"/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</row>
    <row r="79" spans="1:21" x14ac:dyDescent="0.2">
      <c r="A79" s="383" t="s">
        <v>77</v>
      </c>
      <c r="B79" s="383"/>
      <c r="C79" s="383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</row>
    <row r="80" spans="1:21" x14ac:dyDescent="0.2">
      <c r="A80" s="383" t="s">
        <v>78</v>
      </c>
      <c r="B80" s="383"/>
      <c r="C80" s="383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</row>
    <row r="81" spans="1:18" x14ac:dyDescent="0.2">
      <c r="A81" s="383" t="s">
        <v>79</v>
      </c>
      <c r="B81" s="383"/>
      <c r="C81" s="383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0" customWidth="1"/>
    <col min="2" max="6" width="7.7109375" style="90" customWidth="1"/>
    <col min="7" max="7" width="3.5703125" style="90" customWidth="1"/>
    <col min="8" max="12" width="7.7109375" style="90" customWidth="1"/>
    <col min="13" max="13" width="3.5703125" style="90" customWidth="1"/>
    <col min="14" max="18" width="7.7109375" style="90" customWidth="1"/>
    <col min="19" max="19" width="3.5703125" style="90" customWidth="1"/>
    <col min="20" max="24" width="7.7109375" style="90" customWidth="1"/>
    <col min="25" max="16384" width="9.140625" style="90"/>
  </cols>
  <sheetData>
    <row r="1" spans="1:60" ht="15.75" x14ac:dyDescent="0.2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1" t="s">
        <v>13</v>
      </c>
      <c r="X2" s="381"/>
      <c r="AP2" s="120" t="s">
        <v>13</v>
      </c>
      <c r="BH2" s="120" t="s">
        <v>13</v>
      </c>
    </row>
    <row r="3" spans="1:60" x14ac:dyDescent="0.2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7" t="s">
        <v>48</v>
      </c>
      <c r="U3" s="387"/>
      <c r="V3" s="387"/>
      <c r="W3" s="387"/>
      <c r="X3" s="387"/>
      <c r="Y3" s="117" t="s">
        <v>101</v>
      </c>
      <c r="Z3" s="387" t="s">
        <v>119</v>
      </c>
      <c r="AA3" s="387"/>
      <c r="AB3" s="387"/>
      <c r="AC3" s="387"/>
      <c r="AD3" s="387"/>
      <c r="AE3" s="117"/>
      <c r="AF3" s="183" t="s">
        <v>49</v>
      </c>
      <c r="AG3" s="183"/>
      <c r="AH3" s="183"/>
      <c r="AI3" s="183"/>
      <c r="AJ3" s="183"/>
      <c r="AK3" s="117"/>
      <c r="AL3" s="387" t="s">
        <v>50</v>
      </c>
      <c r="AM3" s="387"/>
      <c r="AN3" s="387"/>
      <c r="AO3" s="387"/>
      <c r="AP3" s="387"/>
      <c r="AQ3" s="117" t="s">
        <v>101</v>
      </c>
      <c r="AR3" s="387" t="s">
        <v>120</v>
      </c>
      <c r="AS3" s="387"/>
      <c r="AT3" s="387"/>
      <c r="AU3" s="387"/>
      <c r="AV3" s="387"/>
      <c r="AW3" s="117"/>
      <c r="AX3" s="183" t="s">
        <v>51</v>
      </c>
      <c r="AY3" s="183"/>
      <c r="AZ3" s="183"/>
      <c r="BA3" s="183"/>
      <c r="BB3" s="183"/>
      <c r="BC3" s="117"/>
      <c r="BD3" s="387" t="s">
        <v>52</v>
      </c>
      <c r="BE3" s="387"/>
      <c r="BF3" s="387"/>
      <c r="BG3" s="387"/>
      <c r="BH3" s="387"/>
    </row>
    <row r="4" spans="1:60" x14ac:dyDescent="0.2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2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2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2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2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2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2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2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2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2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2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2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2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2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2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2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2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2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2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2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2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2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2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2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2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2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2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2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2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2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2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2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2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2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2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2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2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2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2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2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2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2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2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2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2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75" x14ac:dyDescent="0.2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1" t="s">
        <v>13</v>
      </c>
      <c r="X50" s="381"/>
      <c r="AP50" s="182" t="str">
        <f>AP2</f>
        <v>Levels (000s)</v>
      </c>
      <c r="BH50" s="182" t="str">
        <f>BH2</f>
        <v>Levels (000s)</v>
      </c>
    </row>
    <row r="51" spans="1:60" x14ac:dyDescent="0.2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7" t="str">
        <f>T3</f>
        <v>Lower secondary education (2nd stage basic)</v>
      </c>
      <c r="U51" s="387"/>
      <c r="V51" s="387"/>
      <c r="W51" s="387"/>
      <c r="X51" s="387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2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2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2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2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2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2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2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2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2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2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2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2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2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2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2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2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2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2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2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2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2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2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2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2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2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2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2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2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2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2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2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2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2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2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2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2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2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2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2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2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2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2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2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2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2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2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2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2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2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2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2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2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2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2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2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2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2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2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2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2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2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2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2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2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2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2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2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2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2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2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2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2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2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2">
      <c r="A30" s="10" t="s">
        <v>268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2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2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2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134</v>
      </c>
      <c r="D44" t="s">
        <v>11</v>
      </c>
      <c r="E44" t="s">
        <v>11</v>
      </c>
    </row>
    <row r="45" spans="1:9" x14ac:dyDescent="0.2">
      <c r="A45" s="10" t="s">
        <v>277</v>
      </c>
    </row>
    <row r="46" spans="1:9" x14ac:dyDescent="0.2">
      <c r="A46" s="10" t="s">
        <v>278</v>
      </c>
      <c r="I46" s="82"/>
    </row>
    <row r="47" spans="1:9" x14ac:dyDescent="0.2">
      <c r="A47" s="10" t="s">
        <v>85</v>
      </c>
    </row>
    <row r="48" spans="1:9" x14ac:dyDescent="0.2">
      <c r="A48" s="10" t="s">
        <v>279</v>
      </c>
    </row>
    <row r="49" spans="1:9" x14ac:dyDescent="0.2">
      <c r="A49" s="10" t="s">
        <v>280</v>
      </c>
    </row>
    <row r="50" spans="1:9" x14ac:dyDescent="0.2">
      <c r="A50" s="10" t="s">
        <v>281</v>
      </c>
    </row>
    <row r="51" spans="1:9" x14ac:dyDescent="0.2">
      <c r="A51" s="10" t="s">
        <v>282</v>
      </c>
      <c r="I51" s="82"/>
    </row>
    <row r="52" spans="1:9" x14ac:dyDescent="0.2">
      <c r="A52" s="10" t="s">
        <v>283</v>
      </c>
    </row>
    <row r="53" spans="1:9" x14ac:dyDescent="0.2">
      <c r="A53" s="10" t="s">
        <v>284</v>
      </c>
    </row>
    <row r="54" spans="1:9" x14ac:dyDescent="0.2">
      <c r="A54" s="10" t="s">
        <v>285</v>
      </c>
    </row>
    <row r="55" spans="1:9" x14ac:dyDescent="0.2">
      <c r="A55" s="10" t="s">
        <v>286</v>
      </c>
    </row>
    <row r="56" spans="1:9" x14ac:dyDescent="0.2">
      <c r="A56" s="10" t="s">
        <v>287</v>
      </c>
      <c r="I56" s="82"/>
    </row>
    <row r="57" spans="1:9" x14ac:dyDescent="0.2">
      <c r="A57" s="10" t="s">
        <v>135</v>
      </c>
    </row>
    <row r="58" spans="1:9" x14ac:dyDescent="0.2">
      <c r="A58" s="10" t="s">
        <v>288</v>
      </c>
    </row>
    <row r="59" spans="1:9" x14ac:dyDescent="0.2">
      <c r="A59" s="10" t="s">
        <v>289</v>
      </c>
    </row>
    <row r="60" spans="1:9" x14ac:dyDescent="0.2">
      <c r="A60" s="10" t="s">
        <v>290</v>
      </c>
    </row>
    <row r="61" spans="1:9" x14ac:dyDescent="0.2">
      <c r="A61" s="10" t="s">
        <v>291</v>
      </c>
    </row>
    <row r="62" spans="1:9" x14ac:dyDescent="0.2">
      <c r="A62" s="10" t="s">
        <v>136</v>
      </c>
    </row>
    <row r="63" spans="1:9" x14ac:dyDescent="0.2">
      <c r="A63" s="10" t="s">
        <v>292</v>
      </c>
    </row>
    <row r="64" spans="1:9" x14ac:dyDescent="0.2">
      <c r="A64" s="10" t="s">
        <v>293</v>
      </c>
    </row>
    <row r="65" spans="1:9" x14ac:dyDescent="0.2">
      <c r="A65" s="10" t="s">
        <v>294</v>
      </c>
      <c r="I65" s="82"/>
    </row>
    <row r="66" spans="1:9" x14ac:dyDescent="0.2">
      <c r="A66" s="10" t="s">
        <v>295</v>
      </c>
    </row>
    <row r="67" spans="1:9" x14ac:dyDescent="0.2">
      <c r="A67" s="10" t="s">
        <v>296</v>
      </c>
    </row>
    <row r="68" spans="1:9" x14ac:dyDescent="0.2">
      <c r="A68" s="10" t="s">
        <v>297</v>
      </c>
    </row>
    <row r="69" spans="1:9" x14ac:dyDescent="0.2">
      <c r="A69" s="10" t="s">
        <v>86</v>
      </c>
    </row>
    <row r="70" spans="1:9" x14ac:dyDescent="0.2">
      <c r="A70" s="10" t="s">
        <v>298</v>
      </c>
    </row>
    <row r="71" spans="1:9" x14ac:dyDescent="0.2">
      <c r="A71" s="10" t="s">
        <v>299</v>
      </c>
      <c r="I71" s="82"/>
    </row>
    <row r="72" spans="1:9" x14ac:dyDescent="0.2">
      <c r="A72" s="10" t="s">
        <v>87</v>
      </c>
    </row>
    <row r="73" spans="1:9" x14ac:dyDescent="0.2">
      <c r="A73" s="10" t="s">
        <v>300</v>
      </c>
    </row>
    <row r="74" spans="1:9" x14ac:dyDescent="0.2">
      <c r="A74" s="10" t="s">
        <v>301</v>
      </c>
      <c r="I74" s="82"/>
    </row>
    <row r="75" spans="1:9" x14ac:dyDescent="0.2">
      <c r="A75" s="10" t="s">
        <v>302</v>
      </c>
    </row>
    <row r="76" spans="1:9" x14ac:dyDescent="0.2">
      <c r="A76" s="10" t="s">
        <v>303</v>
      </c>
    </row>
    <row r="77" spans="1:9" x14ac:dyDescent="0.2">
      <c r="A77" s="10" t="s">
        <v>304</v>
      </c>
    </row>
    <row r="78" spans="1:9" x14ac:dyDescent="0.2">
      <c r="A78" s="10" t="s">
        <v>305</v>
      </c>
    </row>
    <row r="81" spans="9:9" x14ac:dyDescent="0.2">
      <c r="I81" s="82"/>
    </row>
    <row r="85" spans="9:9" x14ac:dyDescent="0.2">
      <c r="I85" s="82"/>
    </row>
    <row r="91" spans="9:9" x14ac:dyDescent="0.2">
      <c r="I91" s="82"/>
    </row>
    <row r="96" spans="9:9" x14ac:dyDescent="0.2">
      <c r="I96" s="82"/>
    </row>
    <row r="101" spans="9:9" x14ac:dyDescent="0.2">
      <c r="I101" s="82"/>
    </row>
    <row r="106" spans="9:9" x14ac:dyDescent="0.2">
      <c r="I106" s="82"/>
    </row>
    <row r="111" spans="9:9" x14ac:dyDescent="0.2">
      <c r="I111" s="82"/>
    </row>
    <row r="119" spans="9:9" x14ac:dyDescent="0.2">
      <c r="I119" s="82"/>
    </row>
    <row r="129" spans="9:9" x14ac:dyDescent="0.2">
      <c r="I129" s="82"/>
    </row>
    <row r="134" spans="9:9" x14ac:dyDescent="0.2">
      <c r="I134" s="82"/>
    </row>
    <row r="141" spans="9:9" x14ac:dyDescent="0.2">
      <c r="I141" s="82"/>
    </row>
    <row r="143" spans="9:9" x14ac:dyDescent="0.2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2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2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2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2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2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2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2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2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2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2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2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2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2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2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2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2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2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2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2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2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2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2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3.5" thickBot="1" x14ac:dyDescent="0.2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2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3.5" thickBot="1" x14ac:dyDescent="0.25">
      <c r="A27" s="1" t="str">
        <f>CONCATENATE("Aggregation 75 industries to 6 ",name!C2)</f>
        <v>Aggregation 75 industries to 6 Industry sectors</v>
      </c>
    </row>
    <row r="28" spans="1:77" x14ac:dyDescent="0.2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2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2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2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2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3.5" thickBot="1" x14ac:dyDescent="0.2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2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2">
      <c r="A36" s="1" t="s">
        <v>508</v>
      </c>
    </row>
    <row r="37" spans="1:77" ht="120" customHeight="1" thickBot="1" x14ac:dyDescent="0.2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2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2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2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2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2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2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2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2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3.5" thickBot="1" x14ac:dyDescent="0.2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2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2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2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2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2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2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2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2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3.5" thickBot="1" x14ac:dyDescent="0.2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2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2">
      <c r="A58" s="10"/>
    </row>
    <row r="59" spans="1:11" x14ac:dyDescent="0.2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28515625" defaultRowHeight="12.75" x14ac:dyDescent="0.2"/>
  <cols>
    <col min="1" max="1" width="4.140625" style="88" customWidth="1"/>
    <col min="2" max="2" width="55.7109375" style="88" customWidth="1"/>
    <col min="3" max="3" width="5.85546875" style="88" customWidth="1"/>
    <col min="4" max="4" width="65.7109375" style="88" customWidth="1"/>
    <col min="5" max="16384" width="10.28515625" style="88"/>
  </cols>
  <sheetData>
    <row r="1" spans="1:4" x14ac:dyDescent="0.2">
      <c r="A1" s="14" t="s">
        <v>160</v>
      </c>
    </row>
    <row r="3" spans="1:4" x14ac:dyDescent="0.2">
      <c r="A3" s="125"/>
      <c r="B3" s="125" t="s">
        <v>348</v>
      </c>
      <c r="C3" s="125"/>
      <c r="D3" s="125" t="s">
        <v>349</v>
      </c>
    </row>
    <row r="4" spans="1:4" x14ac:dyDescent="0.2">
      <c r="A4" s="125"/>
      <c r="B4" s="125"/>
      <c r="C4" s="125"/>
      <c r="D4" s="125"/>
    </row>
    <row r="5" spans="1:4" x14ac:dyDescent="0.2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2">
      <c r="A6" s="125"/>
      <c r="B6" s="125"/>
      <c r="C6" s="125"/>
      <c r="D6" s="125"/>
    </row>
    <row r="7" spans="1:4" x14ac:dyDescent="0.2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2">
      <c r="A8" s="125"/>
      <c r="B8" s="125"/>
      <c r="C8" s="125"/>
      <c r="D8" s="125"/>
    </row>
    <row r="9" spans="1:4" x14ac:dyDescent="0.2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2">
      <c r="A10" s="125"/>
      <c r="B10" s="125"/>
      <c r="C10" s="125">
        <v>4</v>
      </c>
      <c r="D10" s="125" t="s">
        <v>166</v>
      </c>
    </row>
    <row r="11" spans="1:4" x14ac:dyDescent="0.2">
      <c r="A11" s="125"/>
      <c r="B11" s="125"/>
      <c r="C11" s="125"/>
      <c r="D11" s="125"/>
    </row>
    <row r="12" spans="1:4" x14ac:dyDescent="0.2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2">
      <c r="A13" s="125"/>
      <c r="B13" s="125"/>
      <c r="C13" s="125">
        <v>17</v>
      </c>
      <c r="D13" s="125" t="s">
        <v>89</v>
      </c>
    </row>
    <row r="14" spans="1:4" x14ac:dyDescent="0.2">
      <c r="A14" s="125"/>
      <c r="B14" s="125"/>
      <c r="C14" s="125">
        <v>18</v>
      </c>
      <c r="D14" s="125" t="s">
        <v>168</v>
      </c>
    </row>
    <row r="15" spans="1:4" x14ac:dyDescent="0.2">
      <c r="A15" s="125"/>
      <c r="B15" s="125"/>
      <c r="C15" s="125"/>
      <c r="D15" s="125"/>
    </row>
    <row r="16" spans="1:4" x14ac:dyDescent="0.2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2">
      <c r="A17" s="125"/>
      <c r="B17" s="125"/>
      <c r="C17" s="125">
        <v>6</v>
      </c>
      <c r="D17" s="125" t="s">
        <v>170</v>
      </c>
    </row>
    <row r="18" spans="1:4" x14ac:dyDescent="0.2">
      <c r="A18" s="125"/>
      <c r="B18" s="125"/>
      <c r="C18" s="125">
        <v>7</v>
      </c>
      <c r="D18" s="125" t="s">
        <v>171</v>
      </c>
    </row>
    <row r="19" spans="1:4" x14ac:dyDescent="0.2">
      <c r="A19" s="125"/>
      <c r="B19" s="125"/>
      <c r="C19" s="125">
        <v>8</v>
      </c>
      <c r="D19" s="125" t="s">
        <v>172</v>
      </c>
    </row>
    <row r="20" spans="1:4" x14ac:dyDescent="0.2">
      <c r="A20" s="125"/>
      <c r="B20" s="125"/>
      <c r="C20" s="125">
        <v>9</v>
      </c>
      <c r="D20" s="125" t="s">
        <v>173</v>
      </c>
    </row>
    <row r="21" spans="1:4" x14ac:dyDescent="0.2">
      <c r="A21" s="125"/>
      <c r="B21" s="125"/>
      <c r="C21" s="125">
        <v>10</v>
      </c>
      <c r="D21" s="125" t="s">
        <v>174</v>
      </c>
    </row>
    <row r="22" spans="1:4" x14ac:dyDescent="0.2">
      <c r="A22" s="125"/>
      <c r="B22" s="125"/>
      <c r="C22" s="125">
        <v>11</v>
      </c>
      <c r="D22" s="125" t="s">
        <v>64</v>
      </c>
    </row>
    <row r="23" spans="1:4" x14ac:dyDescent="0.2">
      <c r="A23" s="125"/>
      <c r="B23" s="125"/>
      <c r="C23" s="125">
        <v>12</v>
      </c>
      <c r="D23" s="125" t="s">
        <v>175</v>
      </c>
    </row>
    <row r="24" spans="1:4" x14ac:dyDescent="0.2">
      <c r="A24" s="125"/>
      <c r="B24" s="125"/>
      <c r="C24" s="125">
        <v>13</v>
      </c>
      <c r="D24" s="125" t="s">
        <v>176</v>
      </c>
    </row>
    <row r="25" spans="1:4" x14ac:dyDescent="0.2">
      <c r="A25" s="125"/>
      <c r="B25" s="125"/>
      <c r="C25" s="125">
        <v>14</v>
      </c>
      <c r="D25" s="125" t="s">
        <v>122</v>
      </c>
    </row>
    <row r="26" spans="1:4" x14ac:dyDescent="0.2">
      <c r="A26" s="125"/>
      <c r="B26" s="125"/>
      <c r="C26" s="125">
        <v>15</v>
      </c>
      <c r="D26" s="125" t="s">
        <v>123</v>
      </c>
    </row>
    <row r="27" spans="1:4" x14ac:dyDescent="0.2">
      <c r="A27" s="125"/>
      <c r="B27" s="125"/>
      <c r="C27" s="125">
        <v>19</v>
      </c>
      <c r="D27" s="125" t="s">
        <v>177</v>
      </c>
    </row>
    <row r="28" spans="1:4" x14ac:dyDescent="0.2">
      <c r="A28" s="125"/>
      <c r="B28" s="125"/>
      <c r="C28" s="125">
        <v>20</v>
      </c>
      <c r="D28" s="125" t="s">
        <v>178</v>
      </c>
    </row>
    <row r="29" spans="1:4" x14ac:dyDescent="0.2">
      <c r="A29" s="125"/>
      <c r="B29" s="125"/>
      <c r="C29" s="125">
        <v>21</v>
      </c>
      <c r="D29" s="125" t="s">
        <v>179</v>
      </c>
    </row>
    <row r="30" spans="1:4" x14ac:dyDescent="0.2">
      <c r="A30" s="125"/>
      <c r="B30" s="125"/>
      <c r="C30" s="125">
        <v>22</v>
      </c>
      <c r="D30" s="125" t="s">
        <v>180</v>
      </c>
    </row>
    <row r="31" spans="1:4" x14ac:dyDescent="0.2">
      <c r="A31" s="125"/>
      <c r="B31" s="125"/>
      <c r="C31" s="125">
        <v>23</v>
      </c>
      <c r="D31" s="125" t="s">
        <v>181</v>
      </c>
    </row>
    <row r="32" spans="1:4" x14ac:dyDescent="0.2">
      <c r="A32" s="125"/>
      <c r="B32" s="125"/>
      <c r="C32" s="125"/>
      <c r="D32" s="125"/>
    </row>
    <row r="33" spans="1:4" x14ac:dyDescent="0.2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2">
      <c r="A34" s="125"/>
      <c r="B34" s="125"/>
      <c r="C34" s="125"/>
      <c r="D34" s="125"/>
    </row>
    <row r="35" spans="1:4" x14ac:dyDescent="0.2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2">
      <c r="A36" s="125"/>
      <c r="B36" s="125"/>
      <c r="C36" s="125">
        <v>26</v>
      </c>
      <c r="D36" s="125" t="s">
        <v>186</v>
      </c>
    </row>
    <row r="37" spans="1:4" x14ac:dyDescent="0.2">
      <c r="A37" s="125"/>
      <c r="B37" s="125"/>
      <c r="C37" s="125">
        <v>27</v>
      </c>
      <c r="D37" s="125" t="s">
        <v>187</v>
      </c>
    </row>
    <row r="38" spans="1:4" x14ac:dyDescent="0.2">
      <c r="A38" s="125"/>
      <c r="B38" s="125"/>
      <c r="C38" s="125"/>
      <c r="D38" s="125"/>
    </row>
    <row r="39" spans="1:4" x14ac:dyDescent="0.2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2">
      <c r="A40" s="125"/>
      <c r="B40" s="125"/>
      <c r="C40" s="125">
        <v>29</v>
      </c>
      <c r="D40" s="125" t="s">
        <v>189</v>
      </c>
    </row>
    <row r="41" spans="1:4" x14ac:dyDescent="0.2">
      <c r="A41" s="125"/>
      <c r="B41" s="125"/>
      <c r="C41" s="125">
        <v>30</v>
      </c>
      <c r="D41" s="125" t="s">
        <v>190</v>
      </c>
    </row>
    <row r="42" spans="1:4" x14ac:dyDescent="0.2">
      <c r="A42" s="125"/>
      <c r="B42" s="125"/>
      <c r="C42" s="125"/>
      <c r="D42" s="125"/>
    </row>
    <row r="43" spans="1:4" x14ac:dyDescent="0.2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2">
      <c r="A44" s="125"/>
      <c r="B44" s="125"/>
      <c r="C44" s="125">
        <v>32</v>
      </c>
      <c r="D44" s="125" t="s">
        <v>192</v>
      </c>
    </row>
    <row r="45" spans="1:4" x14ac:dyDescent="0.2">
      <c r="A45" s="125"/>
      <c r="B45" s="125"/>
      <c r="C45" s="125">
        <v>33</v>
      </c>
      <c r="D45" s="125" t="s">
        <v>193</v>
      </c>
    </row>
    <row r="46" spans="1:4" x14ac:dyDescent="0.2">
      <c r="A46" s="125"/>
      <c r="B46" s="125"/>
      <c r="C46" s="125"/>
      <c r="D46" s="125"/>
    </row>
    <row r="47" spans="1:4" x14ac:dyDescent="0.2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2">
      <c r="A48" s="125"/>
      <c r="B48" s="125"/>
      <c r="C48" s="125">
        <v>35</v>
      </c>
      <c r="D48" s="125" t="s">
        <v>196</v>
      </c>
    </row>
    <row r="49" spans="1:4" x14ac:dyDescent="0.2">
      <c r="A49" s="125"/>
      <c r="B49" s="125"/>
      <c r="C49" s="125">
        <v>36</v>
      </c>
      <c r="D49" s="125" t="s">
        <v>197</v>
      </c>
    </row>
    <row r="50" spans="1:4" x14ac:dyDescent="0.2">
      <c r="A50" s="125"/>
      <c r="B50" s="125"/>
      <c r="C50" s="125">
        <v>37</v>
      </c>
      <c r="D50" s="125" t="s">
        <v>198</v>
      </c>
    </row>
    <row r="51" spans="1:4" x14ac:dyDescent="0.2">
      <c r="A51" s="125"/>
      <c r="B51" s="125"/>
      <c r="C51" s="125">
        <v>38</v>
      </c>
      <c r="D51" s="125" t="s">
        <v>199</v>
      </c>
    </row>
    <row r="52" spans="1:4" x14ac:dyDescent="0.2">
      <c r="A52" s="125"/>
      <c r="B52" s="125"/>
      <c r="C52" s="125"/>
      <c r="D52" s="125"/>
    </row>
    <row r="53" spans="1:4" x14ac:dyDescent="0.2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2">
      <c r="A54" s="125"/>
      <c r="B54" s="125"/>
      <c r="C54" s="125">
        <v>40</v>
      </c>
      <c r="D54" s="125" t="s">
        <v>202</v>
      </c>
    </row>
    <row r="55" spans="1:4" x14ac:dyDescent="0.2">
      <c r="A55" s="125"/>
      <c r="B55" s="125"/>
      <c r="C55" s="125"/>
      <c r="D55" s="125"/>
    </row>
    <row r="56" spans="1:4" x14ac:dyDescent="0.2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2">
      <c r="A57" s="125"/>
      <c r="B57" s="125"/>
      <c r="C57" s="125">
        <v>42</v>
      </c>
      <c r="D57" s="125" t="s">
        <v>203</v>
      </c>
    </row>
    <row r="58" spans="1:4" x14ac:dyDescent="0.2">
      <c r="A58" s="125"/>
      <c r="B58" s="125"/>
      <c r="C58" s="125">
        <v>43</v>
      </c>
      <c r="D58" s="125" t="s">
        <v>204</v>
      </c>
    </row>
    <row r="59" spans="1:4" x14ac:dyDescent="0.2">
      <c r="A59" s="125"/>
      <c r="B59" s="125"/>
      <c r="C59" s="125"/>
      <c r="D59" s="125"/>
    </row>
    <row r="60" spans="1:4" x14ac:dyDescent="0.2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2">
      <c r="A61" s="125"/>
      <c r="B61" s="125"/>
      <c r="C61" s="125">
        <v>45</v>
      </c>
      <c r="D61" s="125" t="s">
        <v>206</v>
      </c>
    </row>
    <row r="62" spans="1:4" x14ac:dyDescent="0.2">
      <c r="A62" s="125"/>
      <c r="B62" s="125"/>
      <c r="C62" s="125">
        <v>46</v>
      </c>
      <c r="D62" s="125" t="s">
        <v>207</v>
      </c>
    </row>
    <row r="63" spans="1:4" x14ac:dyDescent="0.2">
      <c r="A63" s="125"/>
      <c r="B63" s="125"/>
      <c r="C63" s="125"/>
      <c r="D63" s="125"/>
    </row>
    <row r="64" spans="1:4" x14ac:dyDescent="0.2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2">
      <c r="A65" s="125"/>
      <c r="B65" s="125"/>
      <c r="C65" s="125">
        <v>48</v>
      </c>
      <c r="D65" s="125" t="s">
        <v>209</v>
      </c>
    </row>
    <row r="66" spans="1:4" x14ac:dyDescent="0.2">
      <c r="A66" s="125"/>
      <c r="B66" s="125"/>
      <c r="C66" s="125">
        <v>49</v>
      </c>
      <c r="D66" s="125" t="s">
        <v>210</v>
      </c>
    </row>
    <row r="67" spans="1:4" x14ac:dyDescent="0.2">
      <c r="A67" s="125"/>
      <c r="B67" s="125"/>
      <c r="C67" s="125"/>
      <c r="D67" s="125"/>
    </row>
    <row r="68" spans="1:4" x14ac:dyDescent="0.2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2">
      <c r="A69" s="125"/>
      <c r="B69" s="125"/>
      <c r="C69" s="125"/>
      <c r="D69" s="125"/>
    </row>
    <row r="70" spans="1:4" x14ac:dyDescent="0.2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2">
      <c r="A71" s="125"/>
      <c r="B71" s="125"/>
      <c r="C71" s="125">
        <v>52</v>
      </c>
      <c r="D71" s="125" t="s">
        <v>214</v>
      </c>
    </row>
    <row r="72" spans="1:4" x14ac:dyDescent="0.2">
      <c r="A72" s="125"/>
      <c r="B72" s="125"/>
      <c r="C72" s="125">
        <v>53</v>
      </c>
      <c r="D72" s="125" t="s">
        <v>215</v>
      </c>
    </row>
    <row r="73" spans="1:4" x14ac:dyDescent="0.2">
      <c r="A73" s="125"/>
      <c r="B73" s="125"/>
      <c r="C73" s="125">
        <v>54</v>
      </c>
      <c r="D73" s="125" t="s">
        <v>216</v>
      </c>
    </row>
    <row r="74" spans="1:4" x14ac:dyDescent="0.2">
      <c r="A74" s="125"/>
      <c r="B74" s="125"/>
      <c r="C74" s="125">
        <v>55</v>
      </c>
      <c r="D74" s="125" t="s">
        <v>217</v>
      </c>
    </row>
    <row r="75" spans="1:4" x14ac:dyDescent="0.2">
      <c r="A75" s="125"/>
      <c r="B75" s="125"/>
      <c r="C75" s="125">
        <v>56</v>
      </c>
      <c r="D75" s="125" t="s">
        <v>218</v>
      </c>
    </row>
    <row r="76" spans="1:4" x14ac:dyDescent="0.2">
      <c r="A76" s="125"/>
      <c r="B76" s="125"/>
      <c r="C76" s="125">
        <v>57</v>
      </c>
      <c r="D76" s="125" t="s">
        <v>219</v>
      </c>
    </row>
    <row r="77" spans="1:4" x14ac:dyDescent="0.2">
      <c r="A77" s="125"/>
      <c r="B77" s="125"/>
      <c r="C77" s="125"/>
      <c r="D77" s="125"/>
    </row>
    <row r="78" spans="1:4" x14ac:dyDescent="0.2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2">
      <c r="A79" s="125"/>
      <c r="B79" s="125"/>
      <c r="C79" s="125">
        <v>59</v>
      </c>
      <c r="D79" s="125" t="s">
        <v>126</v>
      </c>
    </row>
    <row r="80" spans="1:4" x14ac:dyDescent="0.2">
      <c r="A80" s="125"/>
      <c r="B80" s="125"/>
      <c r="C80" s="125">
        <v>60</v>
      </c>
      <c r="D80" s="125" t="s">
        <v>222</v>
      </c>
    </row>
    <row r="81" spans="1:4" x14ac:dyDescent="0.2">
      <c r="A81" s="125"/>
      <c r="B81" s="125"/>
      <c r="C81" s="125">
        <v>61</v>
      </c>
      <c r="D81" s="125" t="s">
        <v>223</v>
      </c>
    </row>
    <row r="82" spans="1:4" x14ac:dyDescent="0.2">
      <c r="A82" s="125"/>
      <c r="B82" s="125"/>
      <c r="C82" s="125">
        <v>62</v>
      </c>
      <c r="D82" s="125" t="s">
        <v>224</v>
      </c>
    </row>
    <row r="83" spans="1:4" x14ac:dyDescent="0.2">
      <c r="A83" s="125"/>
      <c r="B83" s="125"/>
      <c r="C83" s="125">
        <v>63</v>
      </c>
      <c r="D83" s="125" t="s">
        <v>225</v>
      </c>
    </row>
    <row r="84" spans="1:4" x14ac:dyDescent="0.2">
      <c r="A84" s="125"/>
      <c r="B84" s="125"/>
      <c r="C84" s="125"/>
      <c r="D84" s="125"/>
    </row>
    <row r="85" spans="1:4" x14ac:dyDescent="0.2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2">
      <c r="A86" s="125"/>
      <c r="B86" s="125"/>
      <c r="C86" s="125"/>
      <c r="D86" s="125"/>
    </row>
    <row r="87" spans="1:4" x14ac:dyDescent="0.2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2">
      <c r="A88" s="125"/>
      <c r="B88" s="125"/>
      <c r="C88" s="125"/>
      <c r="D88" s="125"/>
    </row>
    <row r="89" spans="1:4" x14ac:dyDescent="0.2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2">
      <c r="A90" s="125"/>
      <c r="B90" s="125"/>
      <c r="C90" s="125">
        <v>67</v>
      </c>
      <c r="D90" s="125" t="s">
        <v>229</v>
      </c>
    </row>
    <row r="91" spans="1:4" x14ac:dyDescent="0.2">
      <c r="A91" s="125"/>
      <c r="B91" s="125"/>
      <c r="C91" s="125">
        <v>68</v>
      </c>
      <c r="D91" s="125" t="s">
        <v>230</v>
      </c>
    </row>
    <row r="92" spans="1:4" x14ac:dyDescent="0.2">
      <c r="A92" s="125"/>
      <c r="B92" s="125"/>
      <c r="C92" s="125"/>
      <c r="D92" s="125"/>
    </row>
    <row r="93" spans="1:4" x14ac:dyDescent="0.2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2">
      <c r="A94" s="125"/>
      <c r="B94" s="125"/>
      <c r="C94" s="125">
        <v>70</v>
      </c>
      <c r="D94" s="125" t="s">
        <v>232</v>
      </c>
    </row>
    <row r="95" spans="1:4" x14ac:dyDescent="0.2">
      <c r="A95" s="125"/>
      <c r="B95" s="125"/>
      <c r="C95" s="125">
        <v>71</v>
      </c>
      <c r="D95" s="125" t="s">
        <v>233</v>
      </c>
    </row>
    <row r="96" spans="1:4" x14ac:dyDescent="0.2">
      <c r="A96" s="125"/>
      <c r="B96" s="125"/>
      <c r="C96" s="125">
        <v>72</v>
      </c>
      <c r="D96" s="125" t="s">
        <v>234</v>
      </c>
    </row>
    <row r="97" spans="1:4" x14ac:dyDescent="0.2">
      <c r="A97" s="125"/>
      <c r="B97" s="125"/>
      <c r="C97" s="125"/>
      <c r="D97" s="125"/>
    </row>
    <row r="98" spans="1:4" x14ac:dyDescent="0.2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2">
      <c r="A99" s="125"/>
      <c r="B99" s="125"/>
      <c r="C99" s="125">
        <v>74</v>
      </c>
      <c r="D99" s="125" t="s">
        <v>236</v>
      </c>
    </row>
    <row r="100" spans="1:4" x14ac:dyDescent="0.2">
      <c r="A100" s="125"/>
      <c r="B100" s="125"/>
      <c r="C100" s="125">
        <v>75</v>
      </c>
      <c r="D100" s="125" t="s">
        <v>237</v>
      </c>
    </row>
    <row r="101" spans="1:4" x14ac:dyDescent="0.2">
      <c r="A101"/>
      <c r="B101"/>
      <c r="D101"/>
    </row>
    <row r="102" spans="1:4" x14ac:dyDescent="0.2">
      <c r="A102" s="16" t="s">
        <v>238</v>
      </c>
      <c r="D102"/>
    </row>
    <row r="103" spans="1:4" x14ac:dyDescent="0.2">
      <c r="D103"/>
    </row>
    <row r="104" spans="1:4" x14ac:dyDescent="0.2">
      <c r="A104" s="10"/>
      <c r="B104" s="125" t="s">
        <v>350</v>
      </c>
      <c r="C104" s="10"/>
      <c r="D104" s="125" t="s">
        <v>349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2">
      <c r="A107" s="10"/>
      <c r="B107" s="10"/>
      <c r="C107" s="10">
        <v>2</v>
      </c>
      <c r="D107" s="10" t="s">
        <v>163</v>
      </c>
    </row>
    <row r="108" spans="1:4" x14ac:dyDescent="0.2">
      <c r="A108" s="10"/>
      <c r="B108" s="10"/>
      <c r="C108" s="10">
        <v>24</v>
      </c>
      <c r="D108" s="10" t="s">
        <v>183</v>
      </c>
    </row>
    <row r="109" spans="1:4" x14ac:dyDescent="0.2">
      <c r="A109" s="10"/>
      <c r="B109" s="10"/>
      <c r="C109" s="10">
        <v>25</v>
      </c>
      <c r="D109" s="10" t="s">
        <v>185</v>
      </c>
    </row>
    <row r="110" spans="1:4" x14ac:dyDescent="0.2">
      <c r="A110" s="10"/>
      <c r="B110" s="10"/>
      <c r="C110" s="10">
        <v>26</v>
      </c>
      <c r="D110" s="10" t="s">
        <v>186</v>
      </c>
    </row>
    <row r="111" spans="1:4" x14ac:dyDescent="0.2">
      <c r="A111" s="10"/>
      <c r="B111" s="10"/>
      <c r="C111" s="10">
        <v>27</v>
      </c>
      <c r="D111" s="10" t="s">
        <v>187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2">
      <c r="A114" s="10"/>
      <c r="B114" s="10"/>
      <c r="C114" s="10">
        <v>4</v>
      </c>
      <c r="D114" s="10" t="s">
        <v>166</v>
      </c>
    </row>
    <row r="115" spans="1:4" x14ac:dyDescent="0.2">
      <c r="A115" s="10"/>
      <c r="B115" s="10"/>
      <c r="C115" s="10">
        <v>5</v>
      </c>
      <c r="D115" s="10" t="s">
        <v>169</v>
      </c>
    </row>
    <row r="116" spans="1:4" x14ac:dyDescent="0.2">
      <c r="A116" s="10"/>
      <c r="B116" s="10"/>
      <c r="C116" s="10">
        <v>6</v>
      </c>
      <c r="D116" s="10" t="s">
        <v>170</v>
      </c>
    </row>
    <row r="117" spans="1:4" x14ac:dyDescent="0.2">
      <c r="A117" s="10"/>
      <c r="B117" s="10"/>
      <c r="C117" s="10">
        <v>7</v>
      </c>
      <c r="D117" s="10" t="s">
        <v>171</v>
      </c>
    </row>
    <row r="118" spans="1:4" x14ac:dyDescent="0.2">
      <c r="A118" s="10"/>
      <c r="B118" s="10"/>
      <c r="C118" s="10">
        <v>8</v>
      </c>
      <c r="D118" s="10" t="s">
        <v>172</v>
      </c>
    </row>
    <row r="119" spans="1:4" x14ac:dyDescent="0.2">
      <c r="A119" s="10"/>
      <c r="B119" s="10"/>
      <c r="C119" s="10">
        <v>9</v>
      </c>
      <c r="D119" s="10" t="s">
        <v>173</v>
      </c>
    </row>
    <row r="120" spans="1:4" x14ac:dyDescent="0.2">
      <c r="A120" s="10"/>
      <c r="B120" s="10"/>
      <c r="C120" s="10">
        <v>10</v>
      </c>
      <c r="D120" s="10" t="s">
        <v>174</v>
      </c>
    </row>
    <row r="121" spans="1:4" x14ac:dyDescent="0.2">
      <c r="A121" s="10"/>
      <c r="B121" s="10"/>
      <c r="C121" s="10">
        <v>11</v>
      </c>
      <c r="D121" s="10" t="s">
        <v>64</v>
      </c>
    </row>
    <row r="122" spans="1:4" x14ac:dyDescent="0.2">
      <c r="A122" s="10"/>
      <c r="B122" s="10"/>
      <c r="C122" s="10">
        <v>12</v>
      </c>
      <c r="D122" s="10" t="s">
        <v>175</v>
      </c>
    </row>
    <row r="123" spans="1:4" x14ac:dyDescent="0.2">
      <c r="A123" s="10"/>
      <c r="B123" s="10"/>
      <c r="C123" s="10">
        <v>13</v>
      </c>
      <c r="D123" s="10" t="s">
        <v>176</v>
      </c>
    </row>
    <row r="124" spans="1:4" x14ac:dyDescent="0.2">
      <c r="A124" s="10"/>
      <c r="B124" s="10"/>
      <c r="C124" s="10">
        <v>14</v>
      </c>
      <c r="D124" s="10" t="s">
        <v>122</v>
      </c>
    </row>
    <row r="125" spans="1:4" x14ac:dyDescent="0.2">
      <c r="A125" s="10"/>
      <c r="B125" s="10"/>
      <c r="C125" s="10">
        <v>15</v>
      </c>
      <c r="D125" s="10" t="s">
        <v>123</v>
      </c>
    </row>
    <row r="126" spans="1:4" x14ac:dyDescent="0.2">
      <c r="A126" s="10"/>
      <c r="B126" s="10"/>
      <c r="C126" s="10">
        <v>16</v>
      </c>
      <c r="D126" s="10" t="s">
        <v>167</v>
      </c>
    </row>
    <row r="127" spans="1:4" x14ac:dyDescent="0.2">
      <c r="A127" s="10"/>
      <c r="B127" s="10"/>
      <c r="C127" s="10">
        <v>17</v>
      </c>
      <c r="D127" s="10" t="s">
        <v>89</v>
      </c>
    </row>
    <row r="128" spans="1:4" x14ac:dyDescent="0.2">
      <c r="A128" s="10"/>
      <c r="B128" s="10"/>
      <c r="C128" s="10">
        <v>18</v>
      </c>
      <c r="D128" s="10" t="s">
        <v>168</v>
      </c>
    </row>
    <row r="129" spans="1:4" x14ac:dyDescent="0.2">
      <c r="A129" s="10"/>
      <c r="B129" s="10"/>
      <c r="C129" s="10">
        <v>19</v>
      </c>
      <c r="D129" s="10" t="s">
        <v>177</v>
      </c>
    </row>
    <row r="130" spans="1:4" x14ac:dyDescent="0.2">
      <c r="A130" s="10"/>
      <c r="B130" s="10"/>
      <c r="C130" s="10">
        <v>20</v>
      </c>
      <c r="D130" s="10" t="s">
        <v>178</v>
      </c>
    </row>
    <row r="131" spans="1:4" x14ac:dyDescent="0.2">
      <c r="A131" s="10"/>
      <c r="B131" s="10"/>
      <c r="C131" s="10">
        <v>21</v>
      </c>
      <c r="D131" s="10" t="s">
        <v>179</v>
      </c>
    </row>
    <row r="132" spans="1:4" x14ac:dyDescent="0.2">
      <c r="A132" s="10"/>
      <c r="B132" s="10"/>
      <c r="C132" s="10">
        <v>22</v>
      </c>
      <c r="D132" s="10" t="s">
        <v>180</v>
      </c>
    </row>
    <row r="133" spans="1:4" x14ac:dyDescent="0.2">
      <c r="A133" s="10"/>
      <c r="B133" s="10"/>
      <c r="C133" s="10">
        <v>23</v>
      </c>
      <c r="D133" s="10" t="s">
        <v>181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2">
      <c r="A136" s="10"/>
      <c r="B136" s="10"/>
      <c r="C136" s="10">
        <v>29</v>
      </c>
      <c r="D136" s="10" t="s">
        <v>189</v>
      </c>
    </row>
    <row r="137" spans="1:4" x14ac:dyDescent="0.2">
      <c r="A137" s="10"/>
      <c r="B137" s="10"/>
      <c r="C137" s="10">
        <v>30</v>
      </c>
      <c r="D137" s="10" t="s">
        <v>190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2">
      <c r="A140" s="10"/>
      <c r="B140" s="10"/>
      <c r="C140" s="10">
        <v>32</v>
      </c>
      <c r="D140" s="10" t="s">
        <v>192</v>
      </c>
    </row>
    <row r="141" spans="1:4" x14ac:dyDescent="0.2">
      <c r="A141" s="10"/>
      <c r="B141" s="10"/>
      <c r="C141" s="10">
        <v>33</v>
      </c>
      <c r="D141" s="10" t="s">
        <v>193</v>
      </c>
    </row>
    <row r="142" spans="1:4" x14ac:dyDescent="0.2">
      <c r="A142" s="10"/>
      <c r="B142" s="10"/>
      <c r="C142" s="10">
        <v>34</v>
      </c>
      <c r="D142" s="10" t="s">
        <v>195</v>
      </c>
    </row>
    <row r="143" spans="1:4" x14ac:dyDescent="0.2">
      <c r="A143" s="10"/>
      <c r="B143" s="10"/>
      <c r="C143" s="10">
        <v>35</v>
      </c>
      <c r="D143" s="10" t="s">
        <v>196</v>
      </c>
    </row>
    <row r="144" spans="1:4" x14ac:dyDescent="0.2">
      <c r="A144" s="10"/>
      <c r="B144" s="10"/>
      <c r="C144" s="10">
        <v>36</v>
      </c>
      <c r="D144" s="10" t="s">
        <v>197</v>
      </c>
    </row>
    <row r="145" spans="1:4" x14ac:dyDescent="0.2">
      <c r="A145" s="10"/>
      <c r="B145" s="10"/>
      <c r="C145" s="10">
        <v>37</v>
      </c>
      <c r="D145" s="10" t="s">
        <v>198</v>
      </c>
    </row>
    <row r="146" spans="1:4" x14ac:dyDescent="0.2">
      <c r="A146" s="10"/>
      <c r="B146" s="10"/>
      <c r="C146" s="10">
        <v>38</v>
      </c>
      <c r="D146" s="10" t="s">
        <v>199</v>
      </c>
    </row>
    <row r="147" spans="1:4" x14ac:dyDescent="0.2">
      <c r="A147" s="10"/>
      <c r="B147" s="10"/>
      <c r="C147" s="10">
        <v>39</v>
      </c>
      <c r="D147" s="10" t="s">
        <v>201</v>
      </c>
    </row>
    <row r="148" spans="1:4" x14ac:dyDescent="0.2">
      <c r="A148" s="10"/>
      <c r="B148" s="10"/>
      <c r="C148" s="10">
        <v>40</v>
      </c>
      <c r="D148" s="10" t="s">
        <v>202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2">
      <c r="A151" s="10"/>
      <c r="B151" s="10"/>
      <c r="C151" s="10">
        <v>42</v>
      </c>
      <c r="D151" s="10" t="s">
        <v>203</v>
      </c>
    </row>
    <row r="152" spans="1:4" x14ac:dyDescent="0.2">
      <c r="A152" s="10"/>
      <c r="B152" s="10"/>
      <c r="C152" s="10">
        <v>43</v>
      </c>
      <c r="D152" s="10" t="s">
        <v>204</v>
      </c>
    </row>
    <row r="153" spans="1:4" x14ac:dyDescent="0.2">
      <c r="A153" s="10"/>
      <c r="B153" s="10"/>
      <c r="C153" s="10">
        <v>44</v>
      </c>
      <c r="D153" s="10" t="s">
        <v>92</v>
      </c>
    </row>
    <row r="154" spans="1:4" x14ac:dyDescent="0.2">
      <c r="A154" s="10"/>
      <c r="B154" s="10"/>
      <c r="C154" s="10">
        <v>45</v>
      </c>
      <c r="D154" s="10" t="s">
        <v>206</v>
      </c>
    </row>
    <row r="155" spans="1:4" x14ac:dyDescent="0.2">
      <c r="A155" s="10"/>
      <c r="B155" s="10"/>
      <c r="C155" s="10">
        <v>46</v>
      </c>
      <c r="D155" s="10" t="s">
        <v>207</v>
      </c>
    </row>
    <row r="156" spans="1:4" x14ac:dyDescent="0.2">
      <c r="A156" s="10"/>
      <c r="B156" s="10"/>
      <c r="C156" s="10">
        <v>47</v>
      </c>
      <c r="D156" s="10" t="s">
        <v>125</v>
      </c>
    </row>
    <row r="157" spans="1:4" x14ac:dyDescent="0.2">
      <c r="A157" s="10"/>
      <c r="B157" s="10"/>
      <c r="C157" s="10">
        <v>48</v>
      </c>
      <c r="D157" s="10" t="s">
        <v>209</v>
      </c>
    </row>
    <row r="158" spans="1:4" x14ac:dyDescent="0.2">
      <c r="A158" s="10"/>
      <c r="B158" s="10"/>
      <c r="C158" s="10">
        <v>49</v>
      </c>
      <c r="D158" s="10" t="s">
        <v>210</v>
      </c>
    </row>
    <row r="159" spans="1:4" x14ac:dyDescent="0.2">
      <c r="A159" s="10"/>
      <c r="B159" s="10"/>
      <c r="C159" s="10">
        <v>50</v>
      </c>
      <c r="D159" s="10" t="s">
        <v>211</v>
      </c>
    </row>
    <row r="160" spans="1:4" x14ac:dyDescent="0.2">
      <c r="A160" s="10"/>
      <c r="B160" s="10"/>
      <c r="C160" s="10">
        <v>51</v>
      </c>
      <c r="D160" s="10" t="s">
        <v>213</v>
      </c>
    </row>
    <row r="161" spans="1:4" x14ac:dyDescent="0.2">
      <c r="A161" s="10"/>
      <c r="B161" s="10"/>
      <c r="C161" s="10">
        <v>52</v>
      </c>
      <c r="D161" s="10" t="s">
        <v>214</v>
      </c>
    </row>
    <row r="162" spans="1:4" x14ac:dyDescent="0.2">
      <c r="A162" s="10"/>
      <c r="B162" s="10"/>
      <c r="C162" s="10">
        <v>53</v>
      </c>
      <c r="D162" s="10" t="s">
        <v>215</v>
      </c>
    </row>
    <row r="163" spans="1:4" x14ac:dyDescent="0.2">
      <c r="A163" s="10"/>
      <c r="B163" s="10"/>
      <c r="C163" s="10">
        <v>54</v>
      </c>
      <c r="D163" s="10" t="s">
        <v>216</v>
      </c>
    </row>
    <row r="164" spans="1:4" x14ac:dyDescent="0.2">
      <c r="A164" s="10"/>
      <c r="B164" s="10"/>
      <c r="C164" s="10">
        <v>55</v>
      </c>
      <c r="D164" s="10" t="s">
        <v>217</v>
      </c>
    </row>
    <row r="165" spans="1:4" x14ac:dyDescent="0.2">
      <c r="A165" s="10"/>
      <c r="B165" s="10"/>
      <c r="C165" s="10">
        <v>56</v>
      </c>
      <c r="D165" s="10" t="s">
        <v>218</v>
      </c>
    </row>
    <row r="166" spans="1:4" x14ac:dyDescent="0.2">
      <c r="A166" s="10"/>
      <c r="B166" s="10"/>
      <c r="C166" s="10">
        <v>57</v>
      </c>
      <c r="D166" s="10" t="s">
        <v>219</v>
      </c>
    </row>
    <row r="167" spans="1:4" x14ac:dyDescent="0.2">
      <c r="A167" s="10"/>
      <c r="B167" s="10"/>
      <c r="C167" s="10">
        <v>58</v>
      </c>
      <c r="D167" s="10" t="s">
        <v>221</v>
      </c>
    </row>
    <row r="168" spans="1:4" x14ac:dyDescent="0.2">
      <c r="A168" s="10"/>
      <c r="B168" s="10"/>
      <c r="C168" s="10">
        <v>59</v>
      </c>
      <c r="D168" s="10" t="s">
        <v>126</v>
      </c>
    </row>
    <row r="169" spans="1:4" x14ac:dyDescent="0.2">
      <c r="A169" s="10"/>
      <c r="B169" s="10"/>
      <c r="C169" s="10">
        <v>60</v>
      </c>
      <c r="D169" s="10" t="s">
        <v>222</v>
      </c>
    </row>
    <row r="170" spans="1:4" x14ac:dyDescent="0.2">
      <c r="A170" s="10"/>
      <c r="B170" s="10"/>
      <c r="C170" s="10">
        <v>61</v>
      </c>
      <c r="D170" s="10" t="s">
        <v>223</v>
      </c>
    </row>
    <row r="171" spans="1:4" x14ac:dyDescent="0.2">
      <c r="A171" s="10"/>
      <c r="B171" s="10"/>
      <c r="C171" s="10">
        <v>62</v>
      </c>
      <c r="D171" s="10" t="s">
        <v>224</v>
      </c>
    </row>
    <row r="172" spans="1:4" x14ac:dyDescent="0.2">
      <c r="A172" s="10"/>
      <c r="B172" s="10"/>
      <c r="C172" s="10">
        <v>63</v>
      </c>
      <c r="D172" s="10" t="s">
        <v>225</v>
      </c>
    </row>
    <row r="173" spans="1:4" x14ac:dyDescent="0.2">
      <c r="A173" s="10"/>
      <c r="B173" s="10"/>
      <c r="C173" s="10">
        <v>69</v>
      </c>
      <c r="D173" s="10" t="s">
        <v>231</v>
      </c>
    </row>
    <row r="174" spans="1:4" x14ac:dyDescent="0.2">
      <c r="A174" s="10"/>
      <c r="B174" s="10"/>
      <c r="C174" s="10">
        <v>70</v>
      </c>
      <c r="D174" s="10" t="s">
        <v>232</v>
      </c>
    </row>
    <row r="175" spans="1:4" x14ac:dyDescent="0.2">
      <c r="A175" s="10"/>
      <c r="B175" s="10"/>
      <c r="C175" s="10">
        <v>71</v>
      </c>
      <c r="D175" s="10" t="s">
        <v>233</v>
      </c>
    </row>
    <row r="176" spans="1:4" x14ac:dyDescent="0.2">
      <c r="A176" s="10"/>
      <c r="B176" s="10"/>
      <c r="C176" s="10">
        <v>72</v>
      </c>
      <c r="D176" s="10" t="s">
        <v>234</v>
      </c>
    </row>
    <row r="177" spans="1:6" x14ac:dyDescent="0.2">
      <c r="A177" s="10"/>
      <c r="B177" s="10"/>
      <c r="C177" s="10">
        <v>73</v>
      </c>
      <c r="D177" s="10" t="s">
        <v>127</v>
      </c>
    </row>
    <row r="178" spans="1:6" x14ac:dyDescent="0.2">
      <c r="A178" s="10"/>
      <c r="B178" s="10"/>
      <c r="C178" s="10">
        <v>74</v>
      </c>
      <c r="D178" s="10" t="s">
        <v>236</v>
      </c>
    </row>
    <row r="179" spans="1:6" x14ac:dyDescent="0.2">
      <c r="A179" s="10"/>
      <c r="B179" s="10"/>
      <c r="C179" s="10">
        <v>75</v>
      </c>
      <c r="D179" s="10" t="s">
        <v>237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2">
      <c r="A182" s="10"/>
      <c r="B182" s="10"/>
      <c r="C182" s="10">
        <v>65</v>
      </c>
      <c r="D182" s="10" t="s">
        <v>66</v>
      </c>
    </row>
    <row r="183" spans="1:6" x14ac:dyDescent="0.2">
      <c r="A183" s="10"/>
      <c r="B183" s="10"/>
      <c r="C183" s="10">
        <v>66</v>
      </c>
      <c r="D183" s="10" t="s">
        <v>228</v>
      </c>
    </row>
    <row r="184" spans="1:6" x14ac:dyDescent="0.2">
      <c r="A184" s="10"/>
      <c r="B184" s="10"/>
      <c r="C184" s="10">
        <v>67</v>
      </c>
      <c r="D184" s="10" t="s">
        <v>229</v>
      </c>
    </row>
    <row r="185" spans="1:6" x14ac:dyDescent="0.2">
      <c r="A185" s="10"/>
      <c r="B185" s="10"/>
      <c r="C185" s="10">
        <v>68</v>
      </c>
      <c r="D185" s="10" t="s">
        <v>230</v>
      </c>
    </row>
    <row r="186" spans="1:6" x14ac:dyDescent="0.2">
      <c r="A186"/>
      <c r="B186"/>
      <c r="D186"/>
    </row>
    <row r="187" spans="1:6" x14ac:dyDescent="0.2">
      <c r="A187" s="14" t="s">
        <v>505</v>
      </c>
      <c r="C187" s="125"/>
      <c r="D187" s="125"/>
    </row>
    <row r="188" spans="1:6" x14ac:dyDescent="0.2">
      <c r="A188" s="88" t="s">
        <v>11</v>
      </c>
      <c r="C188" s="125"/>
      <c r="D188" s="125"/>
    </row>
    <row r="189" spans="1:6" x14ac:dyDescent="0.2">
      <c r="A189" s="88" t="s">
        <v>11</v>
      </c>
      <c r="C189" s="125"/>
      <c r="D189" s="125"/>
    </row>
    <row r="190" spans="1:6" x14ac:dyDescent="0.2">
      <c r="B190" s="88" t="s">
        <v>506</v>
      </c>
      <c r="D190" s="88" t="s">
        <v>521</v>
      </c>
    </row>
    <row r="191" spans="1:6" x14ac:dyDescent="0.2">
      <c r="A191" s="88" t="s">
        <v>11</v>
      </c>
    </row>
    <row r="192" spans="1:6" x14ac:dyDescent="0.2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2">
      <c r="C193" s="88">
        <v>2</v>
      </c>
      <c r="D193" s="125" t="s">
        <v>476</v>
      </c>
      <c r="F193" s="125"/>
    </row>
    <row r="194" spans="1:6" x14ac:dyDescent="0.2">
      <c r="D194" s="125"/>
      <c r="F194" s="125"/>
    </row>
    <row r="195" spans="1:6" x14ac:dyDescent="0.2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2">
      <c r="C196" s="88">
        <v>4</v>
      </c>
      <c r="D196" s="125" t="s">
        <v>479</v>
      </c>
      <c r="F196" s="125"/>
    </row>
    <row r="197" spans="1:6" x14ac:dyDescent="0.2">
      <c r="C197" s="88">
        <v>5</v>
      </c>
      <c r="D197" s="125" t="s">
        <v>481</v>
      </c>
      <c r="F197" s="125"/>
    </row>
    <row r="198" spans="1:6" x14ac:dyDescent="0.2">
      <c r="C198" s="88">
        <v>6</v>
      </c>
      <c r="D198" s="125" t="s">
        <v>482</v>
      </c>
      <c r="F198" s="125"/>
    </row>
    <row r="199" spans="1:6" x14ac:dyDescent="0.2">
      <c r="B199" s="125"/>
      <c r="D199" s="125"/>
      <c r="F199" s="125"/>
    </row>
    <row r="200" spans="1:6" x14ac:dyDescent="0.2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2">
      <c r="C201" s="88">
        <v>8</v>
      </c>
      <c r="D201" s="125" t="s">
        <v>486</v>
      </c>
      <c r="F201" s="125"/>
    </row>
    <row r="202" spans="1:6" x14ac:dyDescent="0.2">
      <c r="C202" s="88">
        <v>9</v>
      </c>
      <c r="D202" s="125" t="s">
        <v>487</v>
      </c>
      <c r="F202" s="125"/>
    </row>
    <row r="203" spans="1:6" x14ac:dyDescent="0.2">
      <c r="C203" s="88">
        <v>10</v>
      </c>
      <c r="D203" s="125" t="s">
        <v>488</v>
      </c>
      <c r="F203" s="125"/>
    </row>
    <row r="204" spans="1:6" x14ac:dyDescent="0.2">
      <c r="C204" s="88">
        <v>11</v>
      </c>
      <c r="D204" s="125" t="s">
        <v>489</v>
      </c>
      <c r="F204" s="125"/>
    </row>
    <row r="205" spans="1:6" x14ac:dyDescent="0.2">
      <c r="D205" s="125"/>
      <c r="F205" s="125"/>
    </row>
    <row r="206" spans="1:6" x14ac:dyDescent="0.2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2">
      <c r="C207" s="88">
        <v>13</v>
      </c>
      <c r="D207" s="125" t="s">
        <v>491</v>
      </c>
      <c r="F207" s="125"/>
    </row>
    <row r="208" spans="1:6" x14ac:dyDescent="0.2">
      <c r="D208"/>
      <c r="F208" s="125"/>
    </row>
    <row r="209" spans="1:6" x14ac:dyDescent="0.2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2">
      <c r="C210" s="88">
        <v>15</v>
      </c>
      <c r="D210" s="125" t="s">
        <v>493</v>
      </c>
      <c r="F210" s="125"/>
    </row>
    <row r="211" spans="1:6" x14ac:dyDescent="0.2">
      <c r="C211" s="88">
        <v>16</v>
      </c>
      <c r="D211" s="125" t="s">
        <v>494</v>
      </c>
      <c r="F211" s="125"/>
    </row>
    <row r="212" spans="1:6" x14ac:dyDescent="0.2">
      <c r="C212" s="88">
        <v>17</v>
      </c>
      <c r="D212" s="125" t="s">
        <v>495</v>
      </c>
      <c r="F212" s="125"/>
    </row>
    <row r="213" spans="1:6" x14ac:dyDescent="0.2">
      <c r="D213"/>
      <c r="F213" s="125"/>
    </row>
    <row r="214" spans="1:6" x14ac:dyDescent="0.2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2">
      <c r="C215" s="88">
        <v>19</v>
      </c>
      <c r="D215" s="125" t="s">
        <v>497</v>
      </c>
      <c r="F215" s="125"/>
    </row>
    <row r="216" spans="1:6" x14ac:dyDescent="0.2">
      <c r="C216" s="88">
        <v>20</v>
      </c>
      <c r="D216" s="125" t="s">
        <v>498</v>
      </c>
      <c r="F216" s="125"/>
    </row>
    <row r="217" spans="1:6" x14ac:dyDescent="0.2">
      <c r="F217" s="125"/>
    </row>
    <row r="218" spans="1:6" x14ac:dyDescent="0.2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2">
      <c r="C219" s="88">
        <v>22</v>
      </c>
      <c r="D219" s="125" t="s">
        <v>500</v>
      </c>
    </row>
    <row r="220" spans="1:6" x14ac:dyDescent="0.2">
      <c r="D220" s="125"/>
    </row>
    <row r="221" spans="1:6" x14ac:dyDescent="0.2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2">
      <c r="C222" s="88">
        <v>24</v>
      </c>
      <c r="D222" s="125" t="s">
        <v>502</v>
      </c>
    </row>
    <row r="223" spans="1:6" ht="12" customHeight="1" x14ac:dyDescent="0.2"/>
    <row r="224" spans="1:6" x14ac:dyDescent="0.2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2">
      <c r="C225" s="88">
        <v>26</v>
      </c>
      <c r="D225" t="s">
        <v>504</v>
      </c>
    </row>
    <row r="226" spans="1:4" x14ac:dyDescent="0.2">
      <c r="B226"/>
      <c r="D226"/>
    </row>
    <row r="227" spans="1:4" x14ac:dyDescent="0.2">
      <c r="A227" s="14" t="s">
        <v>351</v>
      </c>
      <c r="D227"/>
    </row>
    <row r="228" spans="1:4" x14ac:dyDescent="0.2">
      <c r="D228"/>
    </row>
    <row r="229" spans="1:4" x14ac:dyDescent="0.2">
      <c r="B229" s="88" t="s">
        <v>460</v>
      </c>
      <c r="D229" s="88" t="s">
        <v>461</v>
      </c>
    </row>
    <row r="231" spans="1:4" x14ac:dyDescent="0.2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2">
      <c r="C232" s="88">
        <v>2</v>
      </c>
      <c r="D232" s="125" t="s">
        <v>451</v>
      </c>
    </row>
    <row r="234" spans="1:4" x14ac:dyDescent="0.2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2">
      <c r="C235" s="88">
        <v>4</v>
      </c>
      <c r="D235" s="125" t="s">
        <v>453</v>
      </c>
    </row>
    <row r="236" spans="1:4" x14ac:dyDescent="0.2">
      <c r="C236" s="88">
        <v>5</v>
      </c>
      <c r="D236" s="125" t="s">
        <v>454</v>
      </c>
    </row>
    <row r="238" spans="1:4" x14ac:dyDescent="0.2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2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2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2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A21FAD-49BE-486F-9979-D78C89620C45}"/>
</file>

<file path=customXml/itemProps2.xml><?xml version="1.0" encoding="utf-8"?>
<ds:datastoreItem xmlns:ds="http://schemas.openxmlformats.org/officeDocument/2006/customXml" ds:itemID="{63BBBC1B-AC31-4DD0-98D0-4E723B8534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2019-03-05T13:17:01Z</cp:lastPrinted>
  <dcterms:created xsi:type="dcterms:W3CDTF">2006-08-30T09:48:05Z</dcterms:created>
  <dcterms:modified xsi:type="dcterms:W3CDTF">2023-10-02T15:58:14Z</dcterms:modified>
</cp:coreProperties>
</file>